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101FB197-7C79-46A7-AFA4-84B06B4D1367}" xr6:coauthVersionLast="47" xr6:coauthVersionMax="47" xr10:uidLastSave="{00000000-0000-0000-0000-000000000000}"/>
  <bookViews>
    <workbookView xWindow="3495" yWindow="3975" windowWidth="21600" windowHeight="12180" xr2:uid="{00000000-000D-0000-FFFF-FFFF00000000}"/>
  </bookViews>
  <sheets>
    <sheet name="General" sheetId="1" r:id="rId1"/>
    <sheet name="Itemized Calculators" sheetId="2" r:id="rId2"/>
    <sheet name="Cost of GGIS Grad AY25" sheetId="6" r:id="rId3"/>
    <sheet name="Cost of GGI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D34" i="2" l="1"/>
  <c r="E41" i="1"/>
  <c r="E37" i="1"/>
  <c r="E56" i="1" l="1"/>
  <c r="D40" i="2"/>
  <c r="D46" i="1"/>
  <c r="D44" i="1"/>
  <c r="D42" i="1"/>
  <c r="D40" i="1"/>
  <c r="D38" i="1"/>
  <c r="D36" i="1"/>
  <c r="D34" i="1"/>
  <c r="J2" i="1"/>
  <c r="J1" i="1"/>
  <c r="E38" i="1" l="1"/>
  <c r="E42" i="1"/>
  <c r="F37" i="1"/>
  <c r="F41" i="1"/>
  <c r="F42" i="1" l="1"/>
  <c r="G41" i="1"/>
  <c r="F38" i="1"/>
  <c r="G37" i="1"/>
  <c r="H37" i="1" l="1"/>
  <c r="G38" i="1"/>
  <c r="H41" i="1"/>
  <c r="G42" i="1"/>
  <c r="H42" i="1" l="1"/>
  <c r="I41" i="1"/>
  <c r="I42" i="1" s="1"/>
  <c r="H38" i="1"/>
  <c r="I37" i="1"/>
  <c r="J42" i="1" l="1"/>
  <c r="J41" i="1"/>
  <c r="I38" i="1"/>
  <c r="J38" i="1" s="1"/>
  <c r="J37" i="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27" i="1"/>
  <c r="D25" i="1"/>
  <c r="D23" i="1"/>
  <c r="D21" i="1"/>
  <c r="D19" i="1"/>
  <c r="D17" i="1"/>
  <c r="C4" i="1"/>
  <c r="F96" i="1" s="1"/>
  <c r="C3" i="1" l="1"/>
  <c r="B89" i="1" s="1"/>
  <c r="D27" i="2"/>
  <c r="E35"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E39" i="1"/>
  <c r="F14" i="2"/>
  <c r="E20" i="1" s="1"/>
  <c r="F20" i="1" s="1"/>
  <c r="G20" i="1" s="1"/>
  <c r="H20" i="1" s="1"/>
  <c r="I20" i="1" s="1"/>
  <c r="B27" i="2"/>
  <c r="E33" i="1" s="1"/>
  <c r="F27" i="2"/>
  <c r="E43" i="1" s="1"/>
  <c r="B21" i="2"/>
  <c r="E22" i="1" s="1"/>
  <c r="F22" i="1" s="1"/>
  <c r="G22" i="1" s="1"/>
  <c r="H22" i="1" s="1"/>
  <c r="I22" i="1" s="1"/>
  <c r="D49" i="2"/>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39" i="1" l="1"/>
  <c r="E40" i="1"/>
  <c r="E46" i="1"/>
  <c r="F45" i="1"/>
  <c r="E44" i="1"/>
  <c r="F43" i="1"/>
  <c r="E27" i="1"/>
  <c r="F26" i="1"/>
  <c r="G26" i="1" s="1"/>
  <c r="H26" i="1" s="1"/>
  <c r="I26" i="1" s="1"/>
  <c r="I27" i="1" s="1"/>
  <c r="E17" i="1"/>
  <c r="F16" i="1"/>
  <c r="E36" i="1"/>
  <c r="F35" i="1"/>
  <c r="E34" i="1"/>
  <c r="F33" i="1"/>
  <c r="E48" i="1"/>
  <c r="H67" i="1"/>
  <c r="J78" i="1"/>
  <c r="G21" i="1"/>
  <c r="J64" i="1"/>
  <c r="J59" i="1"/>
  <c r="J68" i="1"/>
  <c r="G23" i="1"/>
  <c r="G25" i="1"/>
  <c r="J61" i="1"/>
  <c r="F23" i="1"/>
  <c r="E23" i="1"/>
  <c r="E21" i="1"/>
  <c r="E74" i="1"/>
  <c r="E86" i="1" s="1"/>
  <c r="I23" i="1"/>
  <c r="F21" i="1"/>
  <c r="F25" i="1"/>
  <c r="E25" i="1"/>
  <c r="J75" i="1"/>
  <c r="J65" i="1"/>
  <c r="E19" i="1"/>
  <c r="D86" i="2"/>
  <c r="E58" i="1" s="1"/>
  <c r="F58" i="1" s="1"/>
  <c r="G58" i="1" s="1"/>
  <c r="H58" i="1" s="1"/>
  <c r="I58" i="1" s="1"/>
  <c r="E29" i="1"/>
  <c r="J66" i="1"/>
  <c r="F36" i="1" l="1"/>
  <c r="G35" i="1"/>
  <c r="F34" i="1"/>
  <c r="G33" i="1"/>
  <c r="F17" i="1"/>
  <c r="G16" i="1"/>
  <c r="H16" i="1" s="1"/>
  <c r="I16" i="1" s="1"/>
  <c r="F46" i="1"/>
  <c r="G45" i="1"/>
  <c r="E49" i="1"/>
  <c r="E50" i="1" s="1"/>
  <c r="F44" i="1"/>
  <c r="G43" i="1"/>
  <c r="F40" i="1"/>
  <c r="G39" i="1"/>
  <c r="H17" i="1"/>
  <c r="I67" i="1"/>
  <c r="J67" i="1" s="1"/>
  <c r="F74" i="1"/>
  <c r="F85" i="1" s="1"/>
  <c r="J58" i="1"/>
  <c r="H25" i="1"/>
  <c r="J84" i="1"/>
  <c r="H23" i="1"/>
  <c r="J23" i="1" s="1"/>
  <c r="F27" i="1"/>
  <c r="F48" i="1"/>
  <c r="E85" i="1"/>
  <c r="E30" i="1"/>
  <c r="J22" i="1"/>
  <c r="J26" i="1"/>
  <c r="E52" i="1"/>
  <c r="H27" i="1"/>
  <c r="G27" i="1"/>
  <c r="H21" i="1"/>
  <c r="F19" i="1"/>
  <c r="F29" i="1"/>
  <c r="I21" i="1"/>
  <c r="J20" i="1"/>
  <c r="H45" i="1" l="1"/>
  <c r="G46" i="1"/>
  <c r="H35" i="1"/>
  <c r="G36" i="1"/>
  <c r="H33" i="1"/>
  <c r="G34" i="1"/>
  <c r="H43" i="1"/>
  <c r="G44" i="1"/>
  <c r="H39" i="1"/>
  <c r="G40" i="1"/>
  <c r="E31" i="1"/>
  <c r="E53" i="1"/>
  <c r="E54" i="1" s="1"/>
  <c r="E88" i="1" s="1"/>
  <c r="G74" i="1"/>
  <c r="G85" i="1" s="1"/>
  <c r="F49" i="1"/>
  <c r="F50" i="1" s="1"/>
  <c r="I25" i="1"/>
  <c r="J25" i="1" s="1"/>
  <c r="G48" i="1"/>
  <c r="J21" i="1"/>
  <c r="F86" i="1"/>
  <c r="F52" i="1"/>
  <c r="J27" i="1"/>
  <c r="F30" i="1"/>
  <c r="F31" i="1" s="1"/>
  <c r="G19" i="1"/>
  <c r="G29" i="1"/>
  <c r="G17" i="1"/>
  <c r="H34" i="1" l="1"/>
  <c r="I33" i="1"/>
  <c r="I34" i="1" s="1"/>
  <c r="I45" i="1"/>
  <c r="H46" i="1"/>
  <c r="H44" i="1"/>
  <c r="I43" i="1"/>
  <c r="H36" i="1"/>
  <c r="I35" i="1"/>
  <c r="I39" i="1"/>
  <c r="H40" i="1"/>
  <c r="G49" i="1"/>
  <c r="G50" i="1" s="1"/>
  <c r="H74" i="1"/>
  <c r="H85" i="1" s="1"/>
  <c r="J24" i="1"/>
  <c r="H48" i="1"/>
  <c r="G86" i="1"/>
  <c r="G30" i="1"/>
  <c r="G31" i="1" s="1"/>
  <c r="G52" i="1"/>
  <c r="F53" i="1"/>
  <c r="F54" i="1" s="1"/>
  <c r="F88" i="1" s="1"/>
  <c r="F89" i="1" s="1"/>
  <c r="F91" i="1" s="1"/>
  <c r="F93" i="1" s="1"/>
  <c r="F95" i="1" s="1"/>
  <c r="H29" i="1"/>
  <c r="I19" i="1"/>
  <c r="H19" i="1"/>
  <c r="E89" i="1"/>
  <c r="E91" i="1" s="1"/>
  <c r="E93" i="1" s="1"/>
  <c r="J33" i="1" l="1"/>
  <c r="J34" i="1"/>
  <c r="H49" i="1"/>
  <c r="H50" i="1" s="1"/>
  <c r="I36" i="1"/>
  <c r="J36" i="1" s="1"/>
  <c r="J35" i="1"/>
  <c r="I44" i="1"/>
  <c r="J44" i="1" s="1"/>
  <c r="J43" i="1"/>
  <c r="I46" i="1"/>
  <c r="J46" i="1" s="1"/>
  <c r="J45" i="1"/>
  <c r="I40" i="1"/>
  <c r="J40" i="1" s="1"/>
  <c r="J39" i="1"/>
  <c r="I74" i="1"/>
  <c r="I85" i="1" s="1"/>
  <c r="J85" i="1" s="1"/>
  <c r="I48" i="1"/>
  <c r="J48" i="1" s="1"/>
  <c r="H86" i="1"/>
  <c r="H52" i="1"/>
  <c r="G53" i="1"/>
  <c r="G54" i="1" s="1"/>
  <c r="G88" i="1" s="1"/>
  <c r="G89" i="1" s="1"/>
  <c r="J19" i="1"/>
  <c r="H30" i="1"/>
  <c r="H31" i="1" s="1"/>
  <c r="J16" i="1"/>
  <c r="I29" i="1"/>
  <c r="I17" i="1"/>
  <c r="I30" i="1" s="1"/>
  <c r="J18" i="1"/>
  <c r="E95" i="1"/>
  <c r="I49" i="1" l="1"/>
  <c r="I50" i="1" s="1"/>
  <c r="J50" i="1" s="1"/>
  <c r="I86" i="1"/>
  <c r="J86" i="1" s="1"/>
  <c r="J74" i="1"/>
  <c r="I52" i="1"/>
  <c r="J52" i="1" s="1"/>
  <c r="G91" i="1"/>
  <c r="G93" i="1" s="1"/>
  <c r="G95" i="1" s="1"/>
  <c r="H53" i="1"/>
  <c r="H54" i="1" s="1"/>
  <c r="H88" i="1" s="1"/>
  <c r="H89" i="1" s="1"/>
  <c r="H91" i="1" s="1"/>
  <c r="H93" i="1" s="1"/>
  <c r="H95" i="1" s="1"/>
  <c r="I31" i="1"/>
  <c r="J31" i="1" s="1"/>
  <c r="J17" i="1"/>
  <c r="J29" i="1"/>
  <c r="J30" i="1"/>
  <c r="I53" i="1" l="1"/>
  <c r="J53" i="1" s="1"/>
  <c r="J49" i="1"/>
  <c r="I54" i="1" l="1"/>
  <c r="I88" i="1" s="1"/>
  <c r="I89" i="1" s="1"/>
  <c r="J89" i="1" s="1"/>
  <c r="I91" i="1" l="1"/>
  <c r="J91" i="1" s="1"/>
  <c r="J54" i="1"/>
  <c r="J88" i="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<sst xmlns="http://schemas.openxmlformats.org/spreadsheetml/2006/main" count="307" uniqueCount="179">
  <si>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</si>
  <si>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</si>
  <si>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</si>
  <si>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</si>
  <si>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</si>
  <si>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</si>
  <si>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</si>
  <si>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</si>
  <si>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</si>
  <si>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</si>
  <si>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</si>
  <si>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</si>
  <si>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</si>
  <si>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</si>
  <si>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</si>
  <si>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</si>
  <si>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</si>
  <si>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</si>
  <si>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</si>
  <si>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</si>
  <si>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</si>
  <si>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</si>
  <si>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</si>
  <si>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</si>
  <si>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</si>
  <si>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</si>
  <si>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</si>
  <si>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</si>
  <si>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</si>
  <si>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</si>
  <si>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</si>
  <si>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</si>
  <si>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</si>
  <si>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</si>
  <si>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</si>
  <si>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</si>
  <si>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</si>
  <si>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</si>
  <si>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</si>
  <si>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</si>
  <si>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</si>
  <si>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</si>
  <si>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</si>
  <si>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</si>
  <si>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</si>
  <si>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</si>
  <si>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</si>
  <si>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</si>
  <si>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</si>
  <si>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</si>
  <si>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</si>
  <si>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</si>
  <si>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</si>
  <si>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</si>
  <si>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</si>
  <si>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</si>
  <si>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</si>
  <si>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</si>
  <si>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</si>
  <si>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</si>
  <si>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</si>
  <si>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</si>
  <si>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</si>
  <si>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</si>
  <si>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</si>
  <si>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</si>
  <si>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</si>
  <si>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</si>
  <si>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</si>
  <si>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</si>
  <si>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</si>
  <si>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</si>
  <si>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</si>
  <si>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</si>
  <si>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</si>
  <si>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</si>
  <si>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</si>
  <si>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</si>
  <si>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</si>
  <si>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</si>
  <si>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</si>
  <si>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</si>
  <si>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</si>
  <si>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</si>
  <si>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</si>
  <si>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</si>
  <si>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</si>
  <si>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</si>
  <si>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</si>
  <si>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</si>
  <si>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</si>
  <si>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</si>
  <si>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</si>
  <si>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</si>
  <si>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</si>
  <si>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</si>
  <si>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</si>
  <si>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</si>
  <si>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</si>
  <si>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</si>
  <si>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</si>
  <si>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</si>
  <si>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</si>
  <si>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</si>
  <si>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</si>
  <si>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</si>
  <si>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</si>
  <si>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</si>
  <si>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</si>
  <si>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</si>
  <si>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</si>
  <si>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</si>
  <si>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</si>
  <si>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</si>
  <si>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</si>
  <si>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</si>
  <si>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</si>
  <si>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</si>
  <si>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</si>
  <si>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</si>
  <si>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</si>
  <si>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</si>
  <si>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</si>
  <si>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</si>
  <si>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</si>
  <si>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</si>
  <si>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</si>
  <si>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</si>
  <si>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</si>
  <si>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</si>
  <si>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</si>
  <si>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</si>
  <si>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</si>
  <si>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</si>
  <si>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</si>
  <si>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</si>
  <si>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</si>
  <si>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</si>
  <si>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</si>
  <si>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</si>
  <si>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</si>
  <si>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</si>
  <si>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</si>
  <si>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</si>
  <si>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</si>
  <si>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</si>
  <si>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</si>
  <si>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</si>
  <si>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</si>
  <si>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</si>
  <si>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</si>
  <si>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</si>
  <si>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</si>
  <si>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</si>
  <si>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</si>
  <si>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</si>
  <si>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</si>
  <si>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</si>
  <si>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</si>
  <si>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</si>
  <si>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</si>
  <si>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</si>
  <si>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</si>
  <si>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</si>
  <si>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**The Department of Geography &amp; Geographic Information Science currency does not have a salary policy for Postdoctoral Research Associates.</t>
  </si>
  <si>
    <t>Geography &amp; Geographic Information Science</t>
  </si>
  <si>
    <t>~ increase</t>
  </si>
  <si>
    <t>All</t>
  </si>
  <si>
    <t>Salary, Travel, and Other Calculators are on second tab and autopopulate in budget once entered</t>
  </si>
  <si>
    <t>Fringe Benefit Rate (GRA ≥ Half Time Enrollment)</t>
  </si>
  <si>
    <t>Fringe Benefit Rate (GRA &lt; Half Time Enrollment)</t>
  </si>
  <si>
    <t>&lt; Half Time Enrollment</t>
  </si>
  <si>
    <t>≥ Half Time Enrollment</t>
  </si>
  <si>
    <t>Graduate Assistant &lt; halftime</t>
  </si>
  <si>
    <t/>
  </si>
  <si>
    <t>GGIS Graduate Student Rates - AY24-25</t>
  </si>
  <si>
    <t>AY2025 - 08/16/24-08/15/25</t>
  </si>
  <si>
    <t xml:space="preserve">   However, $45,395 is the current campus minimum for Postdoctoral Research Associates. (Campus guidelines issued for FY 2025)</t>
  </si>
  <si>
    <t>Exempt Subaward Costs (&gt;$50k)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</si>
</sst>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4">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6" borderId="20" xfId="0" applyFont="1" applyFill="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0" fontId="3" fillId="0" borderId="0" xfId="4" applyBorder="1"/>
    <xf numFmtId="164" fontId="3" fillId="0" borderId="0" xfId="1" applyNumberFormat="1" applyFont="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11" xfId="0" applyFont="1" applyBorder="1"/>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0" fontId="3" fillId="0" borderId="0" xfId="0" applyFont="1" applyAlignment="1">
      <alignment horizontal="center"/>
    </xf>
    <xf numFmtId="1" fontId="3" fillId="0" borderId="0" xfId="0" applyNumberFormat="1" applyFont="1"/>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44" fontId="15" fillId="6" borderId="29" xfId="0" applyNumberFormat="1" applyFont="1" applyFill="1" applyBorder="1"/>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zoomScale="115" zoomScaleNormal="115" workbookViewId="0">
      <selection activeCell="J4" sqref="J4"/>
    </sheetView>
  </sheetViews>
  <sheetFormatPr defaultColWidth="9.140625" defaultRowHeight="12.75"/>
  <cols>
    <col min="1" max="1" width="4.85546875" style="99" customWidth="1"/>
    <col min="2" max="2" width="15.7109375" style="100" customWidth="1"/>
    <col min="3" max="3" width="7" style="14" customWidth="1"/>
    <col min="4" max="4" width="7.85546875" style="14" customWidth="1"/>
    <col min="5" max="5" width="12.85546875" style="101" customWidth="1"/>
    <col min="6" max="9" width="13.28515625" style="103" customWidth="1"/>
    <col min="10" max="10" width="13.28515625" style="102" customWidth="1"/>
    <col min="11" max="11" width="36" style="6" customWidth="1"/>
    <col min="12" max="13" width="9.140625" style="6" customWidth="1"/>
    <col min="14"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64" t="s">
        <v>1</v>
      </c>
      <c r="D1" s="264"/>
      <c r="E1" s="264"/>
      <c r="F1" s="3" t="s">
        <v>2</v>
      </c>
      <c r="G1" s="239"/>
      <c r="H1" s="239"/>
      <c r="I1" s="239"/>
      <c r="J1" s="4">
        <f>IF(AND($C$1=$Y$4,$C$2=$Z$3),$Z$4,IF(AND($C$1=$Y$4,$C$2=$AA$3),$AA$4,IF(AND($C$1=$Y$5,$C$2=$Z$3),$Z$5,IF(AND($C$1=$Y$5,$C$2=$AA$3),$AA$5,IF(AND($C$1=$Y$6,$C$2=$Z$3),$Z$6,IF(AND($C$1=$Y$6,$C$2=$AA$3),$AA$6,IF($C$1=$Y$7,$Z$7,IF($C$1=$Y$8,$Z$8,IF(AND($C$1=$Y$9,$C$2=$Z$3),$Z$4,IF(AND($C$1=$Y$9,$C$2=$AA$3),$AA$4,"TBD"))))))))))</f>
        <v>0.58599999999999997</v>
      </c>
      <c r="K1" s="262" t="s">
        <v>168</v>
      </c>
      <c r="M1" s="5"/>
      <c r="N1" s="5"/>
      <c r="O1" s="7"/>
    </row>
    <row r="2" spans="1:50" ht="12.6" customHeight="1">
      <c r="A2" s="8" t="s">
        <v>3</v>
      </c>
      <c r="B2" s="9"/>
      <c r="C2" s="265" t="s">
        <v>4</v>
      </c>
      <c r="D2" s="265"/>
      <c r="E2" s="265"/>
      <c r="F2" s="10" t="s">
        <v>5</v>
      </c>
      <c r="G2" s="9"/>
      <c r="H2" s="9"/>
      <c r="I2" s="9"/>
      <c r="J2" s="11" t="str">
        <f>IF($C$1=$Y$4,$AC$4,IF($C$1=Y5,$AC$4,IF($C$1=Y6,$AC$4, IF($C$1=Y9,$AC$4,IF($C$1=$Y$7,$AC$5,IF($C$1=$Y$8,$AC$5,$AC$4))))))</f>
        <v>MTDC</v>
      </c>
      <c r="K2" s="263"/>
      <c r="M2" s="12"/>
      <c r="N2" s="12"/>
      <c r="O2" s="7"/>
    </row>
    <row r="3" spans="1:50" ht="12.6" customHeight="1">
      <c r="A3" s="8" t="s">
        <v>6</v>
      </c>
      <c r="B3" s="9"/>
      <c r="C3" s="265" t="str">
        <f>IF(OR($C$4=0,$C$4&lt;&gt;$J$1),$AC$5,IF($C$4="TBD","MTDC",$AC$4))</f>
        <v>MTDC</v>
      </c>
      <c r="D3" s="265"/>
      <c r="E3" s="265"/>
      <c r="F3" s="10" t="s">
        <v>7</v>
      </c>
      <c r="G3" s="240"/>
      <c r="H3" s="240"/>
      <c r="I3" s="240"/>
      <c r="J3" s="11">
        <v>0.64</v>
      </c>
      <c r="K3" s="263"/>
      <c r="M3" s="12"/>
      <c r="N3" s="12"/>
      <c r="O3" s="7"/>
      <c r="Y3" s="13"/>
      <c r="Z3" s="6" t="s">
        <v>4</v>
      </c>
      <c r="AA3" s="6" t="s">
        <v>8</v>
      </c>
      <c r="AC3" s="14" t="s">
        <v>9</v>
      </c>
    </row>
    <row r="4" spans="1:50" ht="12" customHeight="1">
      <c r="A4" s="8" t="s">
        <v>10</v>
      </c>
      <c r="B4" s="9"/>
      <c r="C4" s="265">
        <f>$J$1</f>
        <v>0.58599999999999997</v>
      </c>
      <c r="D4" s="265"/>
      <c r="E4" s="265"/>
      <c r="F4" s="10" t="s">
        <v>11</v>
      </c>
      <c r="G4" s="240"/>
      <c r="H4" s="240"/>
      <c r="I4" s="240"/>
      <c r="J4" s="11">
        <v>0.4577</v>
      </c>
      <c r="K4" s="263"/>
      <c r="M4" s="12"/>
      <c r="N4" s="12"/>
      <c r="O4" s="7"/>
      <c r="Y4" s="6" t="s">
        <v>1</v>
      </c>
      <c r="Z4" s="15">
        <v>0.58599999999999997</v>
      </c>
      <c r="AA4" s="15">
        <v>0.25900000000000001</v>
      </c>
      <c r="AC4" s="16" t="s">
        <v>12</v>
      </c>
    </row>
    <row r="5" spans="1:50" ht="12" customHeight="1">
      <c r="A5" s="268" t="s">
        <v>89</v>
      </c>
      <c r="B5" s="268"/>
      <c r="C5" s="269"/>
      <c r="D5" s="270"/>
      <c r="E5" s="271"/>
      <c r="F5" s="241" t="s">
        <v>169</v>
      </c>
      <c r="G5" s="240"/>
      <c r="H5" s="240"/>
      <c r="I5" s="240"/>
      <c r="J5" s="242">
        <v>9.7199999999999995E-2</v>
      </c>
      <c r="K5" s="12"/>
      <c r="M5" s="12"/>
      <c r="N5" s="12"/>
      <c r="O5" s="7"/>
      <c r="Y5" s="6" t="s">
        <v>13</v>
      </c>
      <c r="Z5" s="15">
        <v>0.44900000000000001</v>
      </c>
      <c r="AA5" s="15">
        <v>0.26</v>
      </c>
      <c r="AC5" s="16" t="s">
        <v>14</v>
      </c>
    </row>
    <row r="6" spans="1:50" ht="11.25" customHeight="1">
      <c r="A6" s="268" t="s">
        <v>114</v>
      </c>
      <c r="B6" s="268"/>
      <c r="C6" s="269"/>
      <c r="D6" s="270"/>
      <c r="E6" s="271"/>
      <c r="F6" s="241" t="s">
        <v>170</v>
      </c>
      <c r="G6" s="243"/>
      <c r="H6" s="243"/>
      <c r="I6" s="243"/>
      <c r="J6" s="242">
        <v>0.17369999999999999</v>
      </c>
      <c r="K6" s="12"/>
      <c r="M6" s="12"/>
      <c r="N6" s="12"/>
      <c r="O6" s="7"/>
      <c r="Y6" s="6" t="s">
        <v>16</v>
      </c>
      <c r="Z6" s="15">
        <v>0.317</v>
      </c>
      <c r="AA6" s="15">
        <v>0.217</v>
      </c>
      <c r="AC6" s="16" t="s">
        <v>17</v>
      </c>
    </row>
    <row r="7" spans="1:50" ht="12" customHeight="1">
      <c r="A7" s="268" t="s">
        <v>115</v>
      </c>
      <c r="B7" s="268"/>
      <c r="C7" s="269"/>
      <c r="D7" s="270"/>
      <c r="E7" s="271"/>
      <c r="F7" s="10" t="s">
        <v>15</v>
      </c>
      <c r="G7" s="240"/>
      <c r="H7" s="240"/>
      <c r="I7" s="240"/>
      <c r="J7" s="244">
        <v>1E-4</v>
      </c>
      <c r="K7" s="12"/>
      <c r="M7" s="12"/>
      <c r="N7" s="12"/>
      <c r="O7" s="7"/>
      <c r="Y7" s="17" t="s">
        <v>19</v>
      </c>
      <c r="Z7" s="18">
        <v>0</v>
      </c>
      <c r="AA7" s="18"/>
    </row>
    <row r="8" spans="1:50" ht="11.25" customHeight="1">
      <c r="A8" s="268" t="s">
        <v>116</v>
      </c>
      <c r="B8" s="268"/>
      <c r="C8" s="272"/>
      <c r="D8" s="273"/>
      <c r="E8" s="274"/>
      <c r="F8" s="10" t="s">
        <v>18</v>
      </c>
      <c r="G8" s="240"/>
      <c r="H8" s="240"/>
      <c r="I8" s="240"/>
      <c r="J8" s="11">
        <v>7.6600000000000001E-2</v>
      </c>
      <c r="K8" s="12"/>
      <c r="M8" s="12"/>
      <c r="N8" s="12"/>
      <c r="O8" s="7"/>
      <c r="Y8" s="17" t="s">
        <v>21</v>
      </c>
      <c r="Z8" s="18">
        <v>0.26</v>
      </c>
      <c r="AA8" s="18"/>
    </row>
    <row r="9" spans="1:50" ht="12" customHeight="1">
      <c r="A9" s="268" t="s">
        <v>117</v>
      </c>
      <c r="B9" s="268"/>
      <c r="C9" s="272"/>
      <c r="D9" s="273"/>
      <c r="E9" s="274"/>
      <c r="F9" s="245" t="s">
        <v>20</v>
      </c>
      <c r="G9" s="240"/>
      <c r="H9" s="240"/>
      <c r="I9" s="240"/>
      <c r="J9" s="19">
        <v>0.03</v>
      </c>
      <c r="K9" s="12"/>
      <c r="M9" s="12"/>
      <c r="N9" s="12"/>
      <c r="O9" s="7"/>
      <c r="Y9" s="17" t="s">
        <v>23</v>
      </c>
      <c r="Z9" s="18"/>
      <c r="AA9" s="18"/>
    </row>
    <row r="10" spans="1:50" ht="12" customHeight="1">
      <c r="A10" s="268" t="s">
        <v>118</v>
      </c>
      <c r="B10" s="268"/>
      <c r="C10" s="283" t="str">
        <f>IFERROR(IF(C9="","",IF(C9-C8&lt;=366,1,IF(C9-C8&lt;=732,2,IF(C9-C8&lt;=1098,3,IF(C9-C8&lt;=1464,4,IF(C9-C8&gt;=1465,5,"")))))),"")</f>
        <v/>
      </c>
      <c r="D10" s="284"/>
      <c r="E10" s="285"/>
      <c r="F10" s="245" t="s">
        <v>22</v>
      </c>
      <c r="G10" s="20"/>
      <c r="H10" s="21"/>
      <c r="I10" s="246"/>
      <c r="J10" s="19">
        <v>0.04</v>
      </c>
      <c r="K10" s="12"/>
      <c r="M10" s="12"/>
      <c r="N10" s="12"/>
      <c r="O10" s="7"/>
      <c r="Y10" s="17"/>
      <c r="Z10" s="18"/>
      <c r="AA10" s="18"/>
    </row>
    <row r="11" spans="1:50" ht="9.9499999999999993" customHeight="1">
      <c r="A11" s="277" t="s">
        <v>113</v>
      </c>
      <c r="B11" s="278"/>
      <c r="C11" s="278"/>
      <c r="D11" s="278"/>
      <c r="E11" s="279"/>
      <c r="F11" s="245"/>
      <c r="G11" s="20"/>
      <c r="H11" s="21"/>
      <c r="I11" s="246"/>
      <c r="J11" s="19"/>
      <c r="K11" s="12"/>
      <c r="M11" s="12"/>
      <c r="N11" s="12"/>
      <c r="O11" s="7"/>
      <c r="Y11" s="17"/>
      <c r="Z11" s="18"/>
      <c r="AA11" s="18"/>
    </row>
    <row r="12" spans="1:50" ht="9.9499999999999993" customHeight="1">
      <c r="A12" s="277"/>
      <c r="B12" s="278"/>
      <c r="C12" s="278"/>
      <c r="D12" s="278"/>
      <c r="E12" s="279"/>
      <c r="F12" s="245"/>
      <c r="G12" s="20"/>
      <c r="H12" s="21"/>
      <c r="I12" s="246"/>
      <c r="J12" s="19"/>
      <c r="K12" s="12"/>
      <c r="M12" s="12"/>
      <c r="N12" s="12"/>
      <c r="O12" s="7"/>
      <c r="Y12" s="17"/>
      <c r="Z12" s="18"/>
      <c r="AA12" s="18"/>
    </row>
    <row r="13" spans="1:50" ht="12.95" customHeight="1" thickBot="1">
      <c r="A13" s="280"/>
      <c r="B13" s="281"/>
      <c r="C13" s="281"/>
      <c r="D13" s="281"/>
      <c r="E13" s="282"/>
      <c r="F13"/>
      <c r="G13"/>
      <c r="H13"/>
      <c r="I13"/>
      <c r="J13" s="247"/>
      <c r="K13" s="12"/>
      <c r="L13" s="7"/>
      <c r="M13" s="12"/>
      <c r="N13" s="12"/>
      <c r="O13" s="7"/>
      <c r="Z13" s="15"/>
      <c r="AA13" s="15"/>
    </row>
    <row r="14" spans="1:50" s="27" customFormat="1" ht="15" customHeight="1">
      <c r="A14" s="22"/>
      <c r="B14" s="23"/>
      <c r="C14" s="23"/>
      <c r="D14" s="23"/>
      <c r="E14" s="24" t="s">
        <v>24</v>
      </c>
      <c r="F14" s="25" t="s">
        <v>25</v>
      </c>
      <c r="G14" s="25" t="s">
        <v>26</v>
      </c>
      <c r="H14" s="25" t="s">
        <v>27</v>
      </c>
      <c r="I14" s="25" t="s">
        <v>28</v>
      </c>
      <c r="J14" s="26"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7" customFormat="1" ht="15" customHeight="1">
      <c r="A15" s="28" t="s">
        <v>30</v>
      </c>
      <c r="B15" s="29" t="s">
        <v>31</v>
      </c>
      <c r="C15" s="30"/>
      <c r="D15" s="30"/>
      <c r="E15" s="30"/>
      <c r="F15" s="30"/>
      <c r="G15" s="30"/>
      <c r="H15" s="30"/>
      <c r="I15" s="30"/>
      <c r="J15" s="31"/>
      <c r="K15" s="7"/>
      <c r="L15" s="7"/>
      <c r="M15" s="7"/>
      <c r="N15" s="7"/>
      <c r="O15" s="7"/>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2"/>
      <c r="B16" s="33" t="s">
        <v>32</v>
      </c>
      <c r="C16" s="34" t="s">
        <v>33</v>
      </c>
      <c r="D16" s="35"/>
      <c r="E16" s="36">
        <f>'Itemized Calculators'!B15</f>
        <v>0</v>
      </c>
      <c r="F16" s="37">
        <f>IF($C$10&gt;=2,ROUND(E16*(1+$J$9),0),0)</f>
        <v>0</v>
      </c>
      <c r="G16" s="37">
        <f>IF($C$10&gt;=3,ROUND(F16*(1+$J$9),0),0)</f>
        <v>0</v>
      </c>
      <c r="H16" s="37">
        <f>IF($C$10&gt;=4,ROUND(G16*(1+$J$9),0),0)</f>
        <v>0</v>
      </c>
      <c r="I16" s="37">
        <f>IF($C$10&gt;=5,ROUND(H16*(1+$J$9),0),0)</f>
        <v>0</v>
      </c>
      <c r="J16" s="38">
        <f>SUM(E16:I16)</f>
        <v>0</v>
      </c>
      <c r="K16" s="39"/>
    </row>
    <row r="17" spans="1:50" ht="12.75" customHeight="1">
      <c r="A17" s="28"/>
      <c r="B17" s="142" t="str">
        <f>IF('Itemized Calculators'!B10="","",'Itemized Calculators'!B10)</f>
        <v/>
      </c>
      <c r="C17" s="40" t="s">
        <v>34</v>
      </c>
      <c r="D17" s="41">
        <f>$J$4</f>
        <v>0.4577</v>
      </c>
      <c r="E17" s="42">
        <f>ROUND(E16*$D17,0)</f>
        <v>0</v>
      </c>
      <c r="F17" s="42">
        <f>ROUND(F16*$D17,0)</f>
        <v>0</v>
      </c>
      <c r="G17" s="42">
        <f>ROUND(G16*$D17,0)</f>
        <v>0</v>
      </c>
      <c r="H17" s="42">
        <f>ROUND(H16*$D17,0)</f>
        <v>0</v>
      </c>
      <c r="I17" s="42">
        <f>ROUND(I16*$D17,0)</f>
        <v>0</v>
      </c>
      <c r="J17" s="43">
        <f t="shared" ref="J17:J27" si="0">SUM(E17:I17)</f>
        <v>0</v>
      </c>
      <c r="K17" s="39"/>
    </row>
    <row r="18" spans="1:50" ht="12.75" customHeight="1">
      <c r="A18" s="28"/>
      <c r="B18" s="33" t="s">
        <v>35</v>
      </c>
      <c r="C18" s="34" t="s">
        <v>33</v>
      </c>
      <c r="D18" s="35"/>
      <c r="E18" s="36">
        <f>'Itemized Calculators'!D14</f>
        <v>0</v>
      </c>
      <c r="F18" s="37">
        <f>IF($C$10&gt;=2,ROUND(E18*(1+$J$9),0),0)</f>
        <v>0</v>
      </c>
      <c r="G18" s="37">
        <f>IF($C$10&gt;=3,ROUND(F18*(1+$J$9),0),0)</f>
        <v>0</v>
      </c>
      <c r="H18" s="37">
        <f>IF($C$10&gt;=4,ROUND(G18*(1+$J$9),0),0)</f>
        <v>0</v>
      </c>
      <c r="I18" s="37">
        <f>IF($C$10&gt;=5,ROUND(H18*(1+$J$9),0),0)</f>
        <v>0</v>
      </c>
      <c r="J18" s="38">
        <f t="shared" si="0"/>
        <v>0</v>
      </c>
      <c r="K18" s="39"/>
    </row>
    <row r="19" spans="1:50" ht="12.75" customHeight="1">
      <c r="A19" s="28"/>
      <c r="B19" s="142" t="str">
        <f>IF('Itemized Calculators'!D10="","",'Itemized Calculators'!D10)</f>
        <v/>
      </c>
      <c r="C19" s="40" t="s">
        <v>34</v>
      </c>
      <c r="D19" s="41">
        <f>$J$4</f>
        <v>0.4577</v>
      </c>
      <c r="E19" s="42">
        <f>ROUND(E18*$D19,0)</f>
        <v>0</v>
      </c>
      <c r="F19" s="42">
        <f t="shared" ref="F19:I25" si="1">ROUND(F18*$D19,0)</f>
        <v>0</v>
      </c>
      <c r="G19" s="42">
        <f t="shared" si="1"/>
        <v>0</v>
      </c>
      <c r="H19" s="42">
        <f t="shared" si="1"/>
        <v>0</v>
      </c>
      <c r="I19" s="42">
        <f t="shared" si="1"/>
        <v>0</v>
      </c>
      <c r="J19" s="43">
        <f t="shared" si="0"/>
        <v>0</v>
      </c>
      <c r="K19" s="39"/>
    </row>
    <row r="20" spans="1:50" ht="12.75" customHeight="1">
      <c r="A20" s="28"/>
      <c r="B20" s="33" t="s">
        <v>36</v>
      </c>
      <c r="C20" s="34" t="s">
        <v>33</v>
      </c>
      <c r="D20" s="35"/>
      <c r="E20" s="36">
        <f>'Itemized Calculators'!F14</f>
        <v>0</v>
      </c>
      <c r="F20" s="37">
        <f>IF($C$10&gt;=2,ROUND(E20*(1+$J$9),0),0)</f>
        <v>0</v>
      </c>
      <c r="G20" s="37">
        <f>IF($C$10&gt;=3,ROUND(F20*(1+$J$9),0),0)</f>
        <v>0</v>
      </c>
      <c r="H20" s="37">
        <f>IF($C$10&gt;=4,ROUND(G20*(1+$J$9),0),0)</f>
        <v>0</v>
      </c>
      <c r="I20" s="37">
        <f>IF($C$10&gt;=5,ROUND(H20*(1+$J$9),0),0)</f>
        <v>0</v>
      </c>
      <c r="J20" s="38">
        <f t="shared" ref="J20:J25" si="2">SUM(E20:I20)</f>
        <v>0</v>
      </c>
      <c r="K20" s="39"/>
    </row>
    <row r="21" spans="1:50" ht="12.75" customHeight="1">
      <c r="A21" s="28"/>
      <c r="B21" s="142" t="str">
        <f>IF('Itemized Calculators'!F10="","",'Itemized Calculators'!F10)</f>
        <v/>
      </c>
      <c r="C21" s="40" t="s">
        <v>34</v>
      </c>
      <c r="D21" s="41">
        <f>$J$4</f>
        <v>0.4577</v>
      </c>
      <c r="E21" s="42">
        <f>ROUND(E20*$D21,0)</f>
        <v>0</v>
      </c>
      <c r="F21" s="42">
        <f t="shared" si="1"/>
        <v>0</v>
      </c>
      <c r="G21" s="42">
        <f t="shared" si="1"/>
        <v>0</v>
      </c>
      <c r="H21" s="42">
        <f t="shared" si="1"/>
        <v>0</v>
      </c>
      <c r="I21" s="42">
        <f t="shared" si="1"/>
        <v>0</v>
      </c>
      <c r="J21" s="43">
        <f t="shared" si="2"/>
        <v>0</v>
      </c>
      <c r="K21" s="39"/>
    </row>
    <row r="22" spans="1:50" ht="12.75" customHeight="1">
      <c r="A22" s="28"/>
      <c r="B22" s="33" t="s">
        <v>37</v>
      </c>
      <c r="C22" s="34" t="s">
        <v>33</v>
      </c>
      <c r="D22" s="35"/>
      <c r="E22" s="36">
        <f>'Itemized Calculators'!B21</f>
        <v>0</v>
      </c>
      <c r="F22" s="37">
        <f>IF($C$10&gt;=2,ROUND(E22*(1+$J$9),0),0)</f>
        <v>0</v>
      </c>
      <c r="G22" s="37">
        <f>IF($C$10&gt;=3,ROUND(F22*(1+$J$9),0),0)</f>
        <v>0</v>
      </c>
      <c r="H22" s="37">
        <f>IF($C$10&gt;=4,ROUND(G22*(1+$J$9),0),0)</f>
        <v>0</v>
      </c>
      <c r="I22" s="37">
        <f>IF($C$10&gt;=5,ROUND(H22*(1+$J$9),0),0)</f>
        <v>0</v>
      </c>
      <c r="J22" s="38">
        <f t="shared" si="2"/>
        <v>0</v>
      </c>
      <c r="K22" s="39"/>
    </row>
    <row r="23" spans="1:50" ht="12.75" customHeight="1">
      <c r="A23" s="28"/>
      <c r="B23" s="142" t="str">
        <f>IF('Itemized Calculators'!B17="","",'Itemized Calculators'!B17)</f>
        <v/>
      </c>
      <c r="C23" s="40" t="s">
        <v>34</v>
      </c>
      <c r="D23" s="41">
        <f>$J$4</f>
        <v>0.4577</v>
      </c>
      <c r="E23" s="42">
        <f>ROUND(E22*$D23,0)</f>
        <v>0</v>
      </c>
      <c r="F23" s="42">
        <f t="shared" si="1"/>
        <v>0</v>
      </c>
      <c r="G23" s="42">
        <f t="shared" si="1"/>
        <v>0</v>
      </c>
      <c r="H23" s="42">
        <f t="shared" si="1"/>
        <v>0</v>
      </c>
      <c r="I23" s="42">
        <f t="shared" si="1"/>
        <v>0</v>
      </c>
      <c r="J23" s="43">
        <f t="shared" si="2"/>
        <v>0</v>
      </c>
      <c r="K23" s="39"/>
    </row>
    <row r="24" spans="1:50" ht="12.75" customHeight="1">
      <c r="A24" s="28"/>
      <c r="B24" s="33" t="s">
        <v>38</v>
      </c>
      <c r="C24" s="34" t="s">
        <v>33</v>
      </c>
      <c r="D24" s="35"/>
      <c r="E24" s="36">
        <f>'Itemized Calculators'!D21</f>
        <v>0</v>
      </c>
      <c r="F24" s="37">
        <f>IF($C$10&gt;=2,ROUND(E24*(1+$J$9),0),0)</f>
        <v>0</v>
      </c>
      <c r="G24" s="37">
        <f>IF($C$10&gt;=3,ROUND(F24*(1+$J$9),0),0)</f>
        <v>0</v>
      </c>
      <c r="H24" s="37">
        <f>IF($C$10&gt;=4,ROUND(G24*(1+$J$9),0),0)</f>
        <v>0</v>
      </c>
      <c r="I24" s="37">
        <f>IF($C$10&gt;=5,ROUND(H24*(1+$J$9),0),0)</f>
        <v>0</v>
      </c>
      <c r="J24" s="38">
        <f t="shared" si="2"/>
        <v>0</v>
      </c>
      <c r="K24" s="39"/>
    </row>
    <row r="25" spans="1:50" ht="12.75" customHeight="1">
      <c r="A25" s="28"/>
      <c r="B25" s="142" t="str">
        <f>IF('Itemized Calculators'!D17="","",'Itemized Calculators'!D17)</f>
        <v/>
      </c>
      <c r="C25" s="40" t="s">
        <v>34</v>
      </c>
      <c r="D25" s="41">
        <f>$J$4</f>
        <v>0.4577</v>
      </c>
      <c r="E25" s="42">
        <f>ROUND(E24*$D25,0)</f>
        <v>0</v>
      </c>
      <c r="F25" s="42">
        <f t="shared" si="1"/>
        <v>0</v>
      </c>
      <c r="G25" s="42">
        <f t="shared" si="1"/>
        <v>0</v>
      </c>
      <c r="H25" s="42">
        <f t="shared" si="1"/>
        <v>0</v>
      </c>
      <c r="I25" s="42">
        <f t="shared" si="1"/>
        <v>0</v>
      </c>
      <c r="J25" s="43">
        <f t="shared" si="2"/>
        <v>0</v>
      </c>
      <c r="K25" s="39"/>
    </row>
    <row r="26" spans="1:50" ht="12.75" customHeight="1">
      <c r="A26" s="28"/>
      <c r="B26" s="33" t="s">
        <v>39</v>
      </c>
      <c r="C26" s="34" t="s">
        <v>33</v>
      </c>
      <c r="D26" s="35"/>
      <c r="E26" s="36">
        <f>'Itemized Calculators'!F21</f>
        <v>0</v>
      </c>
      <c r="F26" s="37">
        <f>IF($C$10&gt;=2,ROUND(E26*(1+$J$9),0),0)</f>
        <v>0</v>
      </c>
      <c r="G26" s="37">
        <f>IF($C$10&gt;=3,ROUND(F26*(1+$J$9),0),0)</f>
        <v>0</v>
      </c>
      <c r="H26" s="37">
        <f>IF($C$10&gt;=4,ROUND(G26*(1+$J$9),0),0)</f>
        <v>0</v>
      </c>
      <c r="I26" s="37">
        <f>IF($C$10&gt;=5,ROUND(H26*(1+$J$9),0),0)</f>
        <v>0</v>
      </c>
      <c r="J26" s="38">
        <f t="shared" si="0"/>
        <v>0</v>
      </c>
      <c r="K26" s="39"/>
    </row>
    <row r="27" spans="1:50" ht="12.6" customHeight="1">
      <c r="A27" s="28"/>
      <c r="B27" s="142" t="str">
        <f>IF('Itemized Calculators'!F17="","",'Itemized Calculators'!F17)</f>
        <v/>
      </c>
      <c r="C27" s="44" t="s">
        <v>34</v>
      </c>
      <c r="D27" s="41">
        <f>$J$4</f>
        <v>0.4577</v>
      </c>
      <c r="E27" s="42">
        <f>ROUND(E26*$D27,0)</f>
        <v>0</v>
      </c>
      <c r="F27" s="42">
        <f t="shared" ref="F27:I27" si="3">ROUND(F26*$D27,0)</f>
        <v>0</v>
      </c>
      <c r="G27" s="42">
        <f t="shared" si="3"/>
        <v>0</v>
      </c>
      <c r="H27" s="42">
        <f t="shared" si="3"/>
        <v>0</v>
      </c>
      <c r="I27" s="42">
        <f t="shared" si="3"/>
        <v>0</v>
      </c>
      <c r="J27" s="43">
        <f t="shared" si="0"/>
        <v>0</v>
      </c>
      <c r="K27" s="39"/>
    </row>
    <row r="28" spans="1:50" ht="4.5" customHeight="1">
      <c r="A28" s="28"/>
      <c r="B28" s="45"/>
      <c r="C28" s="46"/>
      <c r="D28" s="47"/>
      <c r="E28" s="48"/>
      <c r="F28" s="48"/>
      <c r="G28" s="48"/>
      <c r="H28" s="48"/>
      <c r="I28" s="48"/>
      <c r="J28" s="38"/>
      <c r="K28" s="39"/>
    </row>
    <row r="29" spans="1:50" ht="12.75" customHeight="1">
      <c r="A29" s="28"/>
      <c r="B29" s="49" t="s">
        <v>40</v>
      </c>
      <c r="C29" s="50" t="s">
        <v>33</v>
      </c>
      <c r="D29" s="47"/>
      <c r="E29" s="48">
        <f t="shared" ref="E29:I30" si="4">SUMIF($C$16:$C$28,$C29,E$16:E$28)</f>
        <v>0</v>
      </c>
      <c r="F29" s="48">
        <f t="shared" si="4"/>
        <v>0</v>
      </c>
      <c r="G29" s="48">
        <f t="shared" si="4"/>
        <v>0</v>
      </c>
      <c r="H29" s="48">
        <f t="shared" si="4"/>
        <v>0</v>
      </c>
      <c r="I29" s="48">
        <f t="shared" si="4"/>
        <v>0</v>
      </c>
      <c r="J29" s="38">
        <f>SUM(E29:I29)</f>
        <v>0</v>
      </c>
      <c r="K29" s="39"/>
    </row>
    <row r="30" spans="1:50" s="14" customFormat="1" ht="12.75" customHeight="1">
      <c r="A30" s="51"/>
      <c r="B30" s="52"/>
      <c r="C30" s="53" t="s">
        <v>34</v>
      </c>
      <c r="D30" s="54"/>
      <c r="E30" s="55">
        <f t="shared" si="4"/>
        <v>0</v>
      </c>
      <c r="F30" s="55">
        <f t="shared" si="4"/>
        <v>0</v>
      </c>
      <c r="G30" s="55">
        <f t="shared" si="4"/>
        <v>0</v>
      </c>
      <c r="H30" s="55">
        <f t="shared" si="4"/>
        <v>0</v>
      </c>
      <c r="I30" s="55">
        <f t="shared" si="4"/>
        <v>0</v>
      </c>
      <c r="J30" s="56">
        <f>SUM(E30:I30)</f>
        <v>0</v>
      </c>
      <c r="K30" s="57"/>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1"/>
      <c r="B31" s="52"/>
      <c r="C31" s="50" t="s">
        <v>29</v>
      </c>
      <c r="D31" s="58"/>
      <c r="E31" s="59">
        <f>SUM(E29:E30)</f>
        <v>0</v>
      </c>
      <c r="F31" s="59">
        <f>SUM(F29:F30)</f>
        <v>0</v>
      </c>
      <c r="G31" s="59">
        <f>SUM(G29:G30)</f>
        <v>0</v>
      </c>
      <c r="H31" s="59">
        <f>SUM(H29:H30)</f>
        <v>0</v>
      </c>
      <c r="I31" s="59">
        <f>SUM(I29:I30)</f>
        <v>0</v>
      </c>
      <c r="J31" s="60">
        <f>SUM(E31:I31)</f>
        <v>0</v>
      </c>
      <c r="K31" s="57"/>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8" t="s">
        <v>41</v>
      </c>
      <c r="B32" s="61" t="s">
        <v>42</v>
      </c>
      <c r="C32" s="52"/>
      <c r="D32" s="52"/>
      <c r="E32" s="48"/>
      <c r="F32" s="48"/>
      <c r="G32" s="48"/>
      <c r="H32" s="48"/>
      <c r="I32" s="48"/>
      <c r="J32" s="38"/>
    </row>
    <row r="33" spans="1:11" ht="12.75" customHeight="1">
      <c r="A33" s="28"/>
      <c r="B33" s="248" t="s">
        <v>43</v>
      </c>
      <c r="C33" s="249" t="s">
        <v>33</v>
      </c>
      <c r="D33" s="35"/>
      <c r="E33" s="36">
        <f>'Itemized Calculators'!B27</f>
        <v>0</v>
      </c>
      <c r="F33" s="37">
        <f>IF($C$10&gt;=2,ROUND(E33*(1+$J$9), 0),0)</f>
        <v>0</v>
      </c>
      <c r="G33" s="37">
        <f>IF($C$10&gt;=3,ROUND(F33*(1+$J$9),0),0)</f>
        <v>0</v>
      </c>
      <c r="H33" s="37">
        <f>IF($C$10&gt;=4,ROUND(G33*(1+$J$9),0),0)</f>
        <v>0</v>
      </c>
      <c r="I33" s="37">
        <f>IF($C$10&gt;=5,ROUND(H33*(1+$J$9),0),0)</f>
        <v>0</v>
      </c>
      <c r="J33" s="38">
        <f t="shared" ref="J33:J46" si="5">SUM(E33:I33)</f>
        <v>0</v>
      </c>
    </row>
    <row r="34" spans="1:11" ht="12.75" customHeight="1">
      <c r="A34" s="28"/>
      <c r="B34" s="250" t="s">
        <v>174</v>
      </c>
      <c r="C34" s="251" t="s">
        <v>34</v>
      </c>
      <c r="D34" s="41">
        <f>$J$4</f>
        <v>0.4577</v>
      </c>
      <c r="E34" s="42">
        <f>ROUND(E33*$D34,0)</f>
        <v>0</v>
      </c>
      <c r="F34" s="42">
        <f t="shared" ref="F34:I34" si="6">ROUND(F33*$D34,0)</f>
        <v>0</v>
      </c>
      <c r="G34" s="42">
        <f t="shared" si="6"/>
        <v>0</v>
      </c>
      <c r="H34" s="42">
        <f t="shared" si="6"/>
        <v>0</v>
      </c>
      <c r="I34" s="42">
        <f t="shared" si="6"/>
        <v>0</v>
      </c>
      <c r="J34" s="43">
        <f t="shared" si="5"/>
        <v>0</v>
      </c>
    </row>
    <row r="35" spans="1:11" ht="12.75" customHeight="1">
      <c r="A35" s="28"/>
      <c r="B35" s="248" t="s">
        <v>44</v>
      </c>
      <c r="C35" s="249" t="s">
        <v>33</v>
      </c>
      <c r="D35" s="35"/>
      <c r="E35" s="37">
        <f>'Itemized Calculators'!D27</f>
        <v>0</v>
      </c>
      <c r="F35" s="37">
        <f>IF($C$10&gt;=2,ROUND(E35*(1+$J$9), 0),0)</f>
        <v>0</v>
      </c>
      <c r="G35" s="37">
        <f>IF($C$10&gt;=3,ROUND(F35*(1+$J$9),0),0)</f>
        <v>0</v>
      </c>
      <c r="H35" s="37">
        <f>IF($C$10&gt;=4,ROUND(G35*(1+$J$9),0),0)</f>
        <v>0</v>
      </c>
      <c r="I35" s="37">
        <f>IF($C$10&gt;=5,ROUND(H35*(1+$J$9),0),0)</f>
        <v>0</v>
      </c>
      <c r="J35" s="38">
        <f t="shared" si="5"/>
        <v>0</v>
      </c>
      <c r="K35" s="39"/>
    </row>
    <row r="36" spans="1:11" ht="12.75" customHeight="1">
      <c r="A36" s="28"/>
      <c r="B36" s="250" t="s">
        <v>174</v>
      </c>
      <c r="C36" s="251" t="s">
        <v>34</v>
      </c>
      <c r="D36" s="41">
        <f>$J$4</f>
        <v>0.4577</v>
      </c>
      <c r="E36" s="42">
        <f>ROUND(E35*$D36,0)</f>
        <v>0</v>
      </c>
      <c r="F36" s="42">
        <f t="shared" ref="F36:I36" si="7">ROUND(F35*$D36,0)</f>
        <v>0</v>
      </c>
      <c r="G36" s="42">
        <f t="shared" si="7"/>
        <v>0</v>
      </c>
      <c r="H36" s="42">
        <f t="shared" si="7"/>
        <v>0</v>
      </c>
      <c r="I36" s="42">
        <f t="shared" si="7"/>
        <v>0</v>
      </c>
      <c r="J36" s="43">
        <f t="shared" si="5"/>
        <v>0</v>
      </c>
      <c r="K36" s="39"/>
    </row>
    <row r="37" spans="1:11" ht="12.75" customHeight="1">
      <c r="A37" s="28"/>
      <c r="B37" s="248" t="s">
        <v>45</v>
      </c>
      <c r="C37" s="249" t="s">
        <v>33</v>
      </c>
      <c r="D37" s="35"/>
      <c r="E37" s="37">
        <f>'Itemized Calculators'!D40</f>
        <v>0</v>
      </c>
      <c r="F37" s="37">
        <f>IF($C$10&gt;=2,ROUND(E37*(1+$J$9), 0),0)</f>
        <v>0</v>
      </c>
      <c r="G37" s="37">
        <f>IF($C$10&gt;=3,ROUND(F37*(1+$J$9),0),0)</f>
        <v>0</v>
      </c>
      <c r="H37" s="37">
        <f>IF($C$10&gt;=4,ROUND(G37*(1+$J$9),0),0)</f>
        <v>0</v>
      </c>
      <c r="I37" s="37">
        <f>IF($C$10&gt;=5,ROUND(H37*(1+$J$9),0),0)</f>
        <v>0</v>
      </c>
      <c r="J37" s="38">
        <f t="shared" ref="J37:J38" si="8">SUM(E37:I37)</f>
        <v>0</v>
      </c>
      <c r="K37" s="39"/>
    </row>
    <row r="38" spans="1:11" ht="12.75" customHeight="1">
      <c r="A38" s="28"/>
      <c r="B38" s="252" t="s">
        <v>171</v>
      </c>
      <c r="C38" s="251" t="s">
        <v>34</v>
      </c>
      <c r="D38" s="41">
        <f>$J$6</f>
        <v>0.17369999999999999</v>
      </c>
      <c r="E38" s="42">
        <f>ROUND(E37*$D38,0)</f>
        <v>0</v>
      </c>
      <c r="F38" s="42">
        <f>ROUND(F37*$D38,0)</f>
        <v>0</v>
      </c>
      <c r="G38" s="42">
        <f t="shared" ref="G38:I38" si="9">ROUND(G37*$D38,0)</f>
        <v>0</v>
      </c>
      <c r="H38" s="42">
        <f t="shared" si="9"/>
        <v>0</v>
      </c>
      <c r="I38" s="42">
        <f t="shared" si="9"/>
        <v>0</v>
      </c>
      <c r="J38" s="43">
        <f t="shared" si="8"/>
        <v>0</v>
      </c>
      <c r="K38" s="39"/>
    </row>
    <row r="39" spans="1:11" ht="12.75" customHeight="1">
      <c r="A39" s="28"/>
      <c r="B39" s="248" t="s">
        <v>45</v>
      </c>
      <c r="C39" s="249" t="s">
        <v>33</v>
      </c>
      <c r="D39" s="35"/>
      <c r="E39" s="37">
        <f>'Itemized Calculators'!D34</f>
        <v>0</v>
      </c>
      <c r="F39" s="37">
        <f>IF($C$10&gt;=2,ROUND(E39*(1+$J$9), 0),0)</f>
        <v>0</v>
      </c>
      <c r="G39" s="37">
        <f>IF($C$10&gt;=3,ROUND(F39*(1+$J$9),0),0)</f>
        <v>0</v>
      </c>
      <c r="H39" s="37">
        <f>IF($C$10&gt;=4,ROUND(G39*(1+$J$9),0),0)</f>
        <v>0</v>
      </c>
      <c r="I39" s="37">
        <f>IF($C$10&gt;=5,ROUND(H39*(1+$J$9),0),0)</f>
        <v>0</v>
      </c>
      <c r="J39" s="38">
        <f t="shared" si="5"/>
        <v>0</v>
      </c>
    </row>
    <row r="40" spans="1:11" ht="12.75" customHeight="1">
      <c r="A40" s="28"/>
      <c r="B40" s="252" t="s">
        <v>172</v>
      </c>
      <c r="C40" s="251" t="s">
        <v>34</v>
      </c>
      <c r="D40" s="41">
        <f>$J$5</f>
        <v>9.7199999999999995E-2</v>
      </c>
      <c r="E40" s="42">
        <f>ROUND(E39*$D40,0)</f>
        <v>0</v>
      </c>
      <c r="F40" s="42">
        <f t="shared" ref="F40:I40" si="10">ROUND(F39*$D40,0)</f>
        <v>0</v>
      </c>
      <c r="G40" s="42">
        <f t="shared" si="10"/>
        <v>0</v>
      </c>
      <c r="H40" s="42">
        <f t="shared" si="10"/>
        <v>0</v>
      </c>
      <c r="I40" s="42">
        <f t="shared" si="10"/>
        <v>0</v>
      </c>
      <c r="J40" s="43">
        <f t="shared" si="5"/>
        <v>0</v>
      </c>
    </row>
    <row r="41" spans="1:11" ht="12.75" customHeight="1">
      <c r="A41" s="28"/>
      <c r="B41" s="248" t="s">
        <v>46</v>
      </c>
      <c r="C41" s="249" t="s">
        <v>33</v>
      </c>
      <c r="D41" s="35"/>
      <c r="E41" s="36">
        <f>'Itemized Calculators'!F39</f>
        <v>0</v>
      </c>
      <c r="F41" s="37">
        <f>E41</f>
        <v>0</v>
      </c>
      <c r="G41" s="37">
        <f>IF($C$10&gt;=3,F41,0)</f>
        <v>0</v>
      </c>
      <c r="H41" s="37">
        <f>IF($C$10&gt;=4,G41,0)</f>
        <v>0</v>
      </c>
      <c r="I41" s="37">
        <f>IF($C$10&gt;=5,H41,0)</f>
        <v>0</v>
      </c>
      <c r="J41" s="38">
        <f t="shared" si="5"/>
        <v>0</v>
      </c>
    </row>
    <row r="42" spans="1:11" ht="12.75" customHeight="1">
      <c r="A42" s="28"/>
      <c r="B42" s="250" t="s">
        <v>174</v>
      </c>
      <c r="C42" s="251" t="s">
        <v>34</v>
      </c>
      <c r="D42" s="41">
        <f>$J$7</f>
        <v>1E-4</v>
      </c>
      <c r="E42" s="42">
        <f>ROUND(E41*$D42,0)</f>
        <v>0</v>
      </c>
      <c r="F42" s="42">
        <f t="shared" ref="F42:I42" si="11">ROUND(F41*$D42,0)</f>
        <v>0</v>
      </c>
      <c r="G42" s="42">
        <f t="shared" si="11"/>
        <v>0</v>
      </c>
      <c r="H42" s="42">
        <f t="shared" si="11"/>
        <v>0</v>
      </c>
      <c r="I42" s="42">
        <f t="shared" si="11"/>
        <v>0</v>
      </c>
      <c r="J42" s="43">
        <f t="shared" si="5"/>
        <v>0</v>
      </c>
    </row>
    <row r="43" spans="1:11" ht="12.75" customHeight="1">
      <c r="A43" s="28"/>
      <c r="B43" s="248" t="s">
        <v>47</v>
      </c>
      <c r="C43" s="249" t="s">
        <v>33</v>
      </c>
      <c r="D43" s="35"/>
      <c r="E43" s="37">
        <f>'Itemized Calculators'!F27</f>
        <v>0</v>
      </c>
      <c r="F43" s="37">
        <f>IF($C$10&gt;=2,ROUND(E43*(1+$J$9),0),0)</f>
        <v>0</v>
      </c>
      <c r="G43" s="37">
        <f>IF($C$10&gt;=3,ROUND(F43*(1+$J$9),0),0)</f>
        <v>0</v>
      </c>
      <c r="H43" s="37">
        <f>IF($C$10&gt;=4,ROUND(G43*(1+$J$9),0),0)</f>
        <v>0</v>
      </c>
      <c r="I43" s="37">
        <f>IF($C$10&gt;=5,ROUND(H43*(1+$J$9),0),0)</f>
        <v>0</v>
      </c>
      <c r="J43" s="38">
        <f t="shared" si="5"/>
        <v>0</v>
      </c>
    </row>
    <row r="44" spans="1:11" ht="12.75" customHeight="1">
      <c r="A44" s="28"/>
      <c r="B44" s="250" t="s">
        <v>174</v>
      </c>
      <c r="C44" s="251" t="s">
        <v>34</v>
      </c>
      <c r="D44" s="41">
        <f>$J$4</f>
        <v>0.4577</v>
      </c>
      <c r="E44" s="42">
        <f>ROUND(E43*$D44,0)</f>
        <v>0</v>
      </c>
      <c r="F44" s="42">
        <f t="shared" ref="F44:I44" si="12">ROUND(F43*$D44,0)</f>
        <v>0</v>
      </c>
      <c r="G44" s="42">
        <f t="shared" si="12"/>
        <v>0</v>
      </c>
      <c r="H44" s="42">
        <f t="shared" si="12"/>
        <v>0</v>
      </c>
      <c r="I44" s="42">
        <f t="shared" si="12"/>
        <v>0</v>
      </c>
      <c r="J44" s="43">
        <f t="shared" si="5"/>
        <v>0</v>
      </c>
    </row>
    <row r="45" spans="1:11">
      <c r="A45" s="28"/>
      <c r="B45" s="248" t="s">
        <v>48</v>
      </c>
      <c r="C45" s="249" t="s">
        <v>33</v>
      </c>
      <c r="D45" s="35"/>
      <c r="E45" s="37">
        <f>'Itemized Calculators'!B33</f>
        <v>0</v>
      </c>
      <c r="F45" s="37">
        <f>IF($C$10&gt;=2,ROUND(E45*(1+$J$9), 0),0)</f>
        <v>0</v>
      </c>
      <c r="G45" s="37">
        <f>IF($C$10&gt;=3,ROUND(F45*(1+$J$9),0),0)</f>
        <v>0</v>
      </c>
      <c r="H45" s="37">
        <f>IF($C$10&gt;=4,ROUND(G45*(1+$J$9),0),0)</f>
        <v>0</v>
      </c>
      <c r="I45" s="37">
        <f>IF($C$10&gt;=5,ROUND(H45*(1+$J$9),0),0)</f>
        <v>0</v>
      </c>
      <c r="J45" s="38">
        <f t="shared" si="5"/>
        <v>0</v>
      </c>
    </row>
    <row r="46" spans="1:11">
      <c r="A46" s="28"/>
      <c r="B46" s="250" t="s">
        <v>174</v>
      </c>
      <c r="C46" s="251" t="s">
        <v>34</v>
      </c>
      <c r="D46" s="41">
        <f>$J$8</f>
        <v>7.6600000000000001E-2</v>
      </c>
      <c r="E46" s="42">
        <f>ROUND(E45*$D46,0)</f>
        <v>0</v>
      </c>
      <c r="F46" s="42">
        <f t="shared" ref="F46:I46" si="13">ROUND(F45*$D46,0)</f>
        <v>0</v>
      </c>
      <c r="G46" s="42">
        <f t="shared" si="13"/>
        <v>0</v>
      </c>
      <c r="H46" s="42">
        <f t="shared" si="13"/>
        <v>0</v>
      </c>
      <c r="I46" s="42">
        <f t="shared" si="13"/>
        <v>0</v>
      </c>
      <c r="J46" s="43">
        <f t="shared" si="5"/>
        <v>0</v>
      </c>
    </row>
    <row r="47" spans="1:11" ht="4.5" customHeight="1">
      <c r="A47" s="28"/>
      <c r="B47" s="253"/>
      <c r="C47" s="254"/>
      <c r="D47" s="47"/>
      <c r="E47" s="48"/>
      <c r="F47" s="48"/>
      <c r="G47" s="48"/>
      <c r="H47" s="48"/>
      <c r="I47" s="48"/>
      <c r="J47" s="38"/>
    </row>
    <row r="48" spans="1:11">
      <c r="A48" s="28"/>
      <c r="B48" s="49" t="s">
        <v>40</v>
      </c>
      <c r="C48" s="50" t="s">
        <v>33</v>
      </c>
      <c r="D48" s="62"/>
      <c r="E48" s="48">
        <f>SUMIF($C$33:$C$47,$C48,E33:E47)</f>
        <v>0</v>
      </c>
      <c r="F48" s="48">
        <f t="shared" ref="F48:I48" si="14">SUMIF($C$33:$C$47,$C48,F33:F47)</f>
        <v>0</v>
      </c>
      <c r="G48" s="48">
        <f t="shared" si="14"/>
        <v>0</v>
      </c>
      <c r="H48" s="48">
        <f t="shared" si="14"/>
        <v>0</v>
      </c>
      <c r="I48" s="48">
        <f t="shared" si="14"/>
        <v>0</v>
      </c>
      <c r="J48" s="38">
        <f>SUM(E48:I48)</f>
        <v>0</v>
      </c>
    </row>
    <row r="49" spans="1:11">
      <c r="A49" s="28"/>
      <c r="B49" s="33"/>
      <c r="C49" s="53" t="s">
        <v>34</v>
      </c>
      <c r="D49" s="63"/>
      <c r="E49" s="55">
        <f>SUMIF($C$33:$C$47,$C49,E33:E47)</f>
        <v>0</v>
      </c>
      <c r="F49" s="55">
        <f t="shared" ref="F49:I49" si="15">SUMIF($C$33:$C$47,$C49,F33:F47)</f>
        <v>0</v>
      </c>
      <c r="G49" s="55">
        <f t="shared" si="15"/>
        <v>0</v>
      </c>
      <c r="H49" s="55">
        <f t="shared" si="15"/>
        <v>0</v>
      </c>
      <c r="I49" s="55">
        <f t="shared" si="15"/>
        <v>0</v>
      </c>
      <c r="J49" s="56">
        <f>SUM(E49:I49)</f>
        <v>0</v>
      </c>
    </row>
    <row r="50" spans="1:11">
      <c r="A50" s="28"/>
      <c r="B50" s="45"/>
      <c r="C50" s="50" t="s">
        <v>29</v>
      </c>
      <c r="D50" s="58"/>
      <c r="E50" s="59">
        <f>SUM(E48:E49)</f>
        <v>0</v>
      </c>
      <c r="F50" s="59">
        <f>SUM(F48:F49)</f>
        <v>0</v>
      </c>
      <c r="G50" s="59">
        <f>SUM(G48:G49)</f>
        <v>0</v>
      </c>
      <c r="H50" s="59">
        <f>SUM(H48:H49)</f>
        <v>0</v>
      </c>
      <c r="I50" s="59">
        <f>SUM(I48:I49)</f>
        <v>0</v>
      </c>
      <c r="J50" s="60">
        <f>SUM(E50:I50)</f>
        <v>0</v>
      </c>
    </row>
    <row r="51" spans="1:11" ht="4.5" customHeight="1">
      <c r="A51" s="28"/>
      <c r="B51" s="7"/>
      <c r="C51" s="46"/>
      <c r="D51" s="46"/>
      <c r="E51" s="59"/>
      <c r="F51" s="59"/>
      <c r="G51" s="59"/>
      <c r="H51" s="59"/>
      <c r="I51" s="59"/>
      <c r="J51" s="60"/>
    </row>
    <row r="52" spans="1:11">
      <c r="A52" s="28"/>
      <c r="B52" s="45"/>
      <c r="C52" s="50" t="s">
        <v>33</v>
      </c>
      <c r="D52" s="46"/>
      <c r="E52" s="48">
        <f t="shared" ref="E52:I53" si="16">E29+E48</f>
        <v>0</v>
      </c>
      <c r="F52" s="48">
        <f t="shared" si="16"/>
        <v>0</v>
      </c>
      <c r="G52" s="48">
        <f t="shared" si="16"/>
        <v>0</v>
      </c>
      <c r="H52" s="48">
        <f t="shared" si="16"/>
        <v>0</v>
      </c>
      <c r="I52" s="48">
        <f t="shared" si="16"/>
        <v>0</v>
      </c>
      <c r="J52" s="38">
        <f>SUM(E52:I52)</f>
        <v>0</v>
      </c>
    </row>
    <row r="53" spans="1:11">
      <c r="A53" s="28" t="s">
        <v>49</v>
      </c>
      <c r="B53" s="64" t="s">
        <v>50</v>
      </c>
      <c r="C53" s="53" t="s">
        <v>34</v>
      </c>
      <c r="D53" s="54"/>
      <c r="E53" s="55">
        <f t="shared" si="16"/>
        <v>0</v>
      </c>
      <c r="F53" s="55">
        <f t="shared" si="16"/>
        <v>0</v>
      </c>
      <c r="G53" s="55">
        <f t="shared" si="16"/>
        <v>0</v>
      </c>
      <c r="H53" s="55">
        <f t="shared" si="16"/>
        <v>0</v>
      </c>
      <c r="I53" s="55">
        <f t="shared" si="16"/>
        <v>0</v>
      </c>
      <c r="J53" s="56">
        <f>SUM(E53:I53)</f>
        <v>0</v>
      </c>
    </row>
    <row r="54" spans="1:11">
      <c r="A54" s="28"/>
      <c r="B54" s="61" t="s">
        <v>51</v>
      </c>
      <c r="C54" s="50" t="s">
        <v>29</v>
      </c>
      <c r="D54" s="46"/>
      <c r="E54" s="59">
        <f>SUM(E52:E53)</f>
        <v>0</v>
      </c>
      <c r="F54" s="59">
        <f>SUM(F52:F53)</f>
        <v>0</v>
      </c>
      <c r="G54" s="59">
        <f>SUM(G52:G53)</f>
        <v>0</v>
      </c>
      <c r="H54" s="59">
        <f>SUM(H52:H53)</f>
        <v>0</v>
      </c>
      <c r="I54" s="59">
        <f>SUM(I52:I53)</f>
        <v>0</v>
      </c>
      <c r="J54" s="60">
        <f>SUM(E54:I54)</f>
        <v>0</v>
      </c>
    </row>
    <row r="55" spans="1:11" ht="4.5" customHeight="1">
      <c r="A55" s="28"/>
      <c r="B55" s="45"/>
      <c r="C55" s="46"/>
      <c r="D55" s="46"/>
      <c r="E55" s="48"/>
      <c r="F55" s="48"/>
      <c r="G55" s="48"/>
      <c r="H55" s="48"/>
      <c r="I55" s="48"/>
      <c r="J55" s="38"/>
    </row>
    <row r="56" spans="1:11">
      <c r="A56" s="28" t="s">
        <v>52</v>
      </c>
      <c r="B56" s="58" t="s">
        <v>53</v>
      </c>
      <c r="C56" s="33"/>
      <c r="D56" s="46"/>
      <c r="E56" s="65">
        <f>'Itemized Calculators'!D49</f>
        <v>0</v>
      </c>
      <c r="F56" s="65">
        <v>0</v>
      </c>
      <c r="G56" s="65">
        <v>0</v>
      </c>
      <c r="H56" s="65">
        <v>0</v>
      </c>
      <c r="I56" s="65">
        <v>0</v>
      </c>
      <c r="J56" s="38">
        <f>SUM(E56:I56)</f>
        <v>0</v>
      </c>
    </row>
    <row r="57" spans="1:11" ht="5.0999999999999996" customHeight="1">
      <c r="A57" s="28"/>
      <c r="B57" s="45"/>
      <c r="C57" s="46"/>
      <c r="D57" s="46"/>
      <c r="E57" s="66"/>
      <c r="F57" s="66"/>
      <c r="G57" s="66"/>
      <c r="H57" s="66"/>
      <c r="I57" s="66"/>
      <c r="J57" s="38"/>
    </row>
    <row r="58" spans="1:11">
      <c r="A58" s="28" t="s">
        <v>54</v>
      </c>
      <c r="B58" s="46" t="s">
        <v>55</v>
      </c>
      <c r="C58" s="52"/>
      <c r="D58" s="46"/>
      <c r="E58" s="37">
        <f>'Itemized Calculators'!D86</f>
        <v>0</v>
      </c>
      <c r="F58" s="37">
        <f>IF($C$10&gt;=2,E58,0)</f>
        <v>0</v>
      </c>
      <c r="G58" s="37">
        <f>IF($C$10&gt;=3,F58,0)</f>
        <v>0</v>
      </c>
      <c r="H58" s="37">
        <f>IF($C$10&gt;=4,G58,0)</f>
        <v>0</v>
      </c>
      <c r="I58" s="37">
        <f>IF($C$10&gt;=5,H58,0)</f>
        <v>0</v>
      </c>
      <c r="J58" s="38">
        <f>SUM(E58:I58)</f>
        <v>0</v>
      </c>
      <c r="K58" s="67"/>
    </row>
    <row r="59" spans="1:11">
      <c r="A59" s="28"/>
      <c r="B59" s="46" t="s">
        <v>56</v>
      </c>
      <c r="C59" s="52"/>
      <c r="D59" s="46"/>
      <c r="E59" s="37">
        <f>'Itemized Calculators'!D87</f>
        <v>0</v>
      </c>
      <c r="F59" s="37">
        <f>IF($C$10&gt;=2,E59,0)</f>
        <v>0</v>
      </c>
      <c r="G59" s="37">
        <f>IF($C$10&gt;=3,F59,0)</f>
        <v>0</v>
      </c>
      <c r="H59" s="37">
        <f>IF($C$10&gt;=4,G59,0)</f>
        <v>0</v>
      </c>
      <c r="I59" s="37">
        <f>IF($C$10&gt;=5,H59,0)</f>
        <v>0</v>
      </c>
      <c r="J59" s="38">
        <f>SUM(E59:I59)</f>
        <v>0</v>
      </c>
      <c r="K59" s="67"/>
    </row>
    <row r="60" spans="1:11" ht="4.5" customHeight="1">
      <c r="A60" s="28"/>
      <c r="B60" s="45"/>
      <c r="C60" s="46"/>
      <c r="D60" s="46"/>
      <c r="E60" s="48"/>
      <c r="F60" s="48"/>
      <c r="G60" s="48"/>
      <c r="H60" s="48"/>
      <c r="I60" s="48"/>
      <c r="J60" s="38"/>
    </row>
    <row r="61" spans="1:11">
      <c r="A61" s="28" t="s">
        <v>57</v>
      </c>
      <c r="B61" s="61" t="s">
        <v>58</v>
      </c>
      <c r="C61" s="46"/>
      <c r="D61" s="46"/>
      <c r="E61" s="68">
        <f>'Itemized Calculators'!D100</f>
        <v>0</v>
      </c>
      <c r="F61" s="68">
        <f>IF($C$10&gt;=2,E61,0)</f>
        <v>0</v>
      </c>
      <c r="G61" s="68">
        <f>IF($C$10&gt;=3,F61,0)</f>
        <v>0</v>
      </c>
      <c r="H61" s="68">
        <f>IF($C$10&gt;=4,G61,0)</f>
        <v>0</v>
      </c>
      <c r="I61" s="68">
        <f>IF($C$10&gt;=5,H61,0)</f>
        <v>0</v>
      </c>
      <c r="J61" s="38">
        <f>SUM(E61:I61)</f>
        <v>0</v>
      </c>
    </row>
    <row r="62" spans="1:11" ht="4.5" customHeight="1">
      <c r="A62" s="28"/>
      <c r="B62" s="45"/>
      <c r="C62" s="46"/>
      <c r="D62" s="46"/>
      <c r="E62" s="48"/>
      <c r="F62" s="48"/>
      <c r="G62" s="48"/>
      <c r="H62" s="48"/>
      <c r="I62" s="48"/>
      <c r="J62" s="38"/>
    </row>
    <row r="63" spans="1:11" ht="12.95" customHeight="1">
      <c r="A63" s="28" t="s">
        <v>59</v>
      </c>
      <c r="B63" s="69" t="s">
        <v>60</v>
      </c>
      <c r="C63" s="46"/>
      <c r="D63" s="46"/>
      <c r="E63" s="48"/>
      <c r="F63" s="48"/>
      <c r="G63" s="48"/>
      <c r="H63" s="48"/>
      <c r="I63" s="48"/>
      <c r="J63" s="38"/>
    </row>
    <row r="64" spans="1:11">
      <c r="A64" s="32"/>
      <c r="B64" s="46" t="s">
        <v>61</v>
      </c>
      <c r="C64" s="46"/>
      <c r="D64" s="46"/>
      <c r="E64" s="37">
        <f>'Itemized Calculators'!D113</f>
        <v>0</v>
      </c>
      <c r="F64" s="37">
        <f>IF($C$10&gt;=2,E64,0)</f>
        <v>0</v>
      </c>
      <c r="G64" s="37">
        <f>IF($C$10&gt;=3,F64,0)</f>
        <v>0</v>
      </c>
      <c r="H64" s="37">
        <f>IF($C$10&gt;=4,G64,0)</f>
        <v>0</v>
      </c>
      <c r="I64" s="37">
        <f>IF($C$10&gt;=5,H64,0)</f>
        <v>0</v>
      </c>
      <c r="J64" s="38">
        <f t="shared" ref="J64:J86" si="17">SUM(E64:I64)</f>
        <v>0</v>
      </c>
    </row>
    <row r="65" spans="1:12">
      <c r="A65" s="28"/>
      <c r="B65" s="46" t="s">
        <v>62</v>
      </c>
      <c r="C65" s="46"/>
      <c r="D65" s="46"/>
      <c r="E65" s="37">
        <f>'Itemized Calculators'!D119</f>
        <v>0</v>
      </c>
      <c r="F65" s="37">
        <f>IF($C$10&gt;=2,E65,0)</f>
        <v>0</v>
      </c>
      <c r="G65" s="37">
        <f>IF($C$10&gt;=3,F65,0)</f>
        <v>0</v>
      </c>
      <c r="H65" s="37">
        <f>IF($C$10&gt;=4,G65,0)</f>
        <v>0</v>
      </c>
      <c r="I65" s="37">
        <f>IF($C$10&gt;=5,H65,0)</f>
        <v>0</v>
      </c>
      <c r="J65" s="38">
        <f t="shared" si="17"/>
        <v>0</v>
      </c>
    </row>
    <row r="66" spans="1:12">
      <c r="A66" s="28"/>
      <c r="B66" s="46" t="s">
        <v>63</v>
      </c>
      <c r="C66" s="46"/>
      <c r="D66" s="46"/>
      <c r="E66" s="37">
        <v>0</v>
      </c>
      <c r="F66" s="37">
        <f>IF($C$10&gt;=2,ROUND(E66*(1+$J$9),0),0)</f>
        <v>0</v>
      </c>
      <c r="G66" s="37">
        <f>IF($C$10&gt;=3,ROUND(F66*(1+$J$9),0),0)</f>
        <v>0</v>
      </c>
      <c r="H66" s="37">
        <f>IF($C$10&gt;=4,ROUND(G66*(1+$J$9),0),0)</f>
        <v>0</v>
      </c>
      <c r="I66" s="37">
        <f>IF($C$10&gt;=5,ROUND(H66*(1+$J$9),0),0)</f>
        <v>0</v>
      </c>
      <c r="J66" s="38">
        <f t="shared" si="17"/>
        <v>0</v>
      </c>
    </row>
    <row r="67" spans="1:12">
      <c r="A67" s="28"/>
      <c r="B67" s="46" t="s">
        <v>64</v>
      </c>
      <c r="C67" s="46"/>
      <c r="D67" s="46"/>
      <c r="E67" s="37">
        <v>0</v>
      </c>
      <c r="F67" s="37">
        <f>IF($C$10&gt;=2,ROUND(E67*(1+$J$9),0),0)</f>
        <v>0</v>
      </c>
      <c r="G67" s="37">
        <f>IF($C$10&gt;=3,ROUND(F67*(1+$J$9),0),0)</f>
        <v>0</v>
      </c>
      <c r="H67" s="37">
        <f>IF($C$10&gt;=4,ROUND(G67*(1+$J$9),0),0)</f>
        <v>0</v>
      </c>
      <c r="I67" s="37">
        <f>IF($C$10&gt;=5,ROUND(H67*(1+$J$9),0),0)</f>
        <v>0</v>
      </c>
      <c r="J67" s="38">
        <f t="shared" si="17"/>
        <v>0</v>
      </c>
      <c r="L67" s="14"/>
    </row>
    <row r="68" spans="1:12">
      <c r="A68" s="28"/>
      <c r="B68" s="70" t="s">
        <v>65</v>
      </c>
      <c r="C68" s="46"/>
      <c r="D68" s="46"/>
      <c r="E68" s="68">
        <v>0</v>
      </c>
      <c r="F68" s="68">
        <f>IF($C$10&gt;=2,E68*(1+$J$9),0)</f>
        <v>0</v>
      </c>
      <c r="G68" s="68">
        <f>IF($C$10&gt;=3,F68*(1+$J$9),0)</f>
        <v>0</v>
      </c>
      <c r="H68" s="68">
        <f>IF($C$10&gt;=4,G68*(1+$J$9),0)</f>
        <v>0</v>
      </c>
      <c r="I68" s="68">
        <f>IF($C$10&gt;=5,H68*(1+$J$9),0)</f>
        <v>0</v>
      </c>
      <c r="J68" s="38">
        <f>SUM(E68:I68)</f>
        <v>0</v>
      </c>
      <c r="L68" s="14"/>
    </row>
    <row r="69" spans="1:12">
      <c r="A69" s="28"/>
      <c r="B69" s="46" t="s">
        <v>66</v>
      </c>
      <c r="C69" s="34">
        <v>1</v>
      </c>
      <c r="D69" s="46"/>
      <c r="E69" s="71">
        <v>0</v>
      </c>
      <c r="F69" s="37">
        <v>0</v>
      </c>
      <c r="G69" s="37">
        <v>0</v>
      </c>
      <c r="H69" s="37">
        <v>0</v>
      </c>
      <c r="I69" s="37">
        <v>0</v>
      </c>
      <c r="J69" s="38">
        <f t="shared" si="17"/>
        <v>0</v>
      </c>
      <c r="L69" s="72"/>
    </row>
    <row r="70" spans="1:12">
      <c r="A70" s="28"/>
      <c r="B70" s="70" t="s">
        <v>178</v>
      </c>
      <c r="C70" s="46"/>
      <c r="D70" s="46"/>
      <c r="E70" s="65">
        <v>0</v>
      </c>
      <c r="F70" s="68">
        <v>0</v>
      </c>
      <c r="G70" s="68">
        <v>0</v>
      </c>
      <c r="H70" s="68">
        <v>0</v>
      </c>
      <c r="I70" s="68">
        <v>0</v>
      </c>
      <c r="J70" s="38">
        <f t="shared" si="17"/>
        <v>0</v>
      </c>
      <c r="L70" s="72"/>
    </row>
    <row r="71" spans="1:12">
      <c r="A71" s="28"/>
      <c r="B71" s="46" t="s">
        <v>67</v>
      </c>
      <c r="C71" s="34">
        <v>2</v>
      </c>
      <c r="D71" s="46"/>
      <c r="E71" s="71">
        <v>0</v>
      </c>
      <c r="F71" s="37">
        <v>0</v>
      </c>
      <c r="G71" s="37">
        <v>0</v>
      </c>
      <c r="H71" s="37">
        <v>0</v>
      </c>
      <c r="I71" s="37">
        <v>0</v>
      </c>
      <c r="J71" s="38">
        <f t="shared" ref="J71:J72" si="18">SUM(E71:I71)</f>
        <v>0</v>
      </c>
      <c r="L71" s="72"/>
    </row>
    <row r="72" spans="1:12">
      <c r="A72" s="28"/>
      <c r="B72" s="70" t="s">
        <v>178</v>
      </c>
      <c r="C72" s="46"/>
      <c r="D72" s="46"/>
      <c r="E72" s="65">
        <v>0</v>
      </c>
      <c r="F72" s="68">
        <v>0</v>
      </c>
      <c r="G72" s="68">
        <v>0</v>
      </c>
      <c r="H72" s="68">
        <v>0</v>
      </c>
      <c r="I72" s="68">
        <v>0</v>
      </c>
      <c r="J72" s="38">
        <f t="shared" si="18"/>
        <v>0</v>
      </c>
      <c r="L72" s="72"/>
    </row>
    <row r="73" spans="1:12">
      <c r="A73" s="28"/>
      <c r="B73" s="46" t="s">
        <v>17</v>
      </c>
      <c r="C73" s="46"/>
      <c r="D73" s="46"/>
      <c r="E73" s="37"/>
      <c r="F73" s="71"/>
      <c r="G73" s="71"/>
      <c r="H73" s="71"/>
      <c r="I73" s="71"/>
      <c r="J73" s="38"/>
    </row>
    <row r="74" spans="1:12">
      <c r="A74" s="28"/>
      <c r="B74" s="70" t="s">
        <v>68</v>
      </c>
      <c r="C74" s="46"/>
      <c r="D74" s="46"/>
      <c r="E74" s="68">
        <f>ROUND(SUMIF($B33:$B46,$B$39,E33:E46)*$J$3,0)</f>
        <v>0</v>
      </c>
      <c r="F74" s="68">
        <f>IF($C$10&gt;=2,ROUND(SUMIF($B33:$B46,$B$39,F33:F46)*$J$3,0),0)</f>
        <v>0</v>
      </c>
      <c r="G74" s="68">
        <f>IF($C$10&gt;=3,ROUND(SUMIF($B33:$B46,$B$39,G33:G46)*$J$3,0),0)</f>
        <v>0</v>
      </c>
      <c r="H74" s="68">
        <f>IF($C$10&gt;=4,ROUND(SUMIF($B33:$B46,$B$39,H33:H46)*$J$3,0),0)</f>
        <v>0</v>
      </c>
      <c r="I74" s="68">
        <f>IF($C$10&gt;=5,ROUND(SUMIF($B33:$B46,$B$39,I33:I46)*$J$3,0),0)</f>
        <v>0</v>
      </c>
      <c r="J74" s="38">
        <f t="shared" ref="J74:J85" si="19">SUM(E74:I74)</f>
        <v>0</v>
      </c>
    </row>
    <row r="75" spans="1:12">
      <c r="A75" s="28"/>
      <c r="B75" s="70" t="s">
        <v>69</v>
      </c>
      <c r="C75" s="46"/>
      <c r="D75" s="46"/>
      <c r="E75" s="71">
        <f>'Itemized Calculators'!D125</f>
        <v>0</v>
      </c>
      <c r="F75" s="71">
        <f>IF($C$10&gt;=2,E75,0)</f>
        <v>0</v>
      </c>
      <c r="G75" s="71">
        <f>IF($C$10&gt;=3,F75,0)</f>
        <v>0</v>
      </c>
      <c r="H75" s="71">
        <f>IF($C$10&gt;=4,G75,0)</f>
        <v>0</v>
      </c>
      <c r="I75" s="71">
        <f>IF($C$10&gt;=5,H75,0)</f>
        <v>0</v>
      </c>
      <c r="J75" s="38">
        <f t="shared" si="19"/>
        <v>0</v>
      </c>
      <c r="L75" s="14"/>
    </row>
    <row r="76" spans="1:12">
      <c r="A76" s="28"/>
      <c r="B76" s="70" t="s">
        <v>70</v>
      </c>
      <c r="C76" s="46"/>
      <c r="D76" s="46"/>
      <c r="E76" s="71">
        <v>0</v>
      </c>
      <c r="F76" s="71">
        <v>0</v>
      </c>
      <c r="G76" s="71">
        <v>0</v>
      </c>
      <c r="H76" s="71">
        <v>0</v>
      </c>
      <c r="I76" s="71">
        <v>0</v>
      </c>
      <c r="J76" s="38">
        <f t="shared" si="19"/>
        <v>0</v>
      </c>
      <c r="L76" s="14"/>
    </row>
    <row r="77" spans="1:12">
      <c r="A77" s="28"/>
      <c r="B77" s="70" t="s">
        <v>71</v>
      </c>
      <c r="C77" s="46"/>
      <c r="D77" s="46"/>
      <c r="E77" s="71">
        <v>0</v>
      </c>
      <c r="F77" s="71">
        <v>0</v>
      </c>
      <c r="G77" s="71">
        <v>0</v>
      </c>
      <c r="H77" s="71">
        <v>0</v>
      </c>
      <c r="I77" s="71">
        <v>0</v>
      </c>
      <c r="J77" s="38">
        <f>SUM(E77:I77)</f>
        <v>0</v>
      </c>
    </row>
    <row r="78" spans="1:12">
      <c r="A78" s="28"/>
      <c r="B78" s="70" t="s">
        <v>72</v>
      </c>
      <c r="C78" s="46"/>
      <c r="D78" s="46"/>
      <c r="E78" s="71">
        <f>'Itemized Calculators'!D131</f>
        <v>0</v>
      </c>
      <c r="F78" s="71">
        <f>IF($C$10&gt;=2,E78,0)</f>
        <v>0</v>
      </c>
      <c r="G78" s="71">
        <f>IF($C$10&gt;=3,F78,0)</f>
        <v>0</v>
      </c>
      <c r="H78" s="71">
        <f>IF($C$10&gt;=4,G78,0)</f>
        <v>0</v>
      </c>
      <c r="I78" s="71">
        <f>IF($C$10&gt;=5,H78,0)</f>
        <v>0</v>
      </c>
      <c r="J78" s="38">
        <f t="shared" si="19"/>
        <v>0</v>
      </c>
    </row>
    <row r="79" spans="1:12">
      <c r="A79" s="28"/>
      <c r="B79" s="73" t="s">
        <v>73</v>
      </c>
      <c r="C79" s="46"/>
      <c r="D79" s="46"/>
      <c r="E79" s="71">
        <v>0</v>
      </c>
      <c r="F79" s="71">
        <v>0</v>
      </c>
      <c r="G79" s="71">
        <v>0</v>
      </c>
      <c r="H79" s="71">
        <v>0</v>
      </c>
      <c r="I79" s="71">
        <v>0</v>
      </c>
      <c r="J79" s="38">
        <f t="shared" si="19"/>
        <v>0</v>
      </c>
    </row>
    <row r="80" spans="1:12">
      <c r="A80" s="28"/>
      <c r="B80" s="70" t="s">
        <v>74</v>
      </c>
      <c r="C80" s="46"/>
      <c r="D80" s="46"/>
      <c r="E80" s="71">
        <v>0</v>
      </c>
      <c r="F80" s="71">
        <v>0</v>
      </c>
      <c r="G80" s="71">
        <v>0</v>
      </c>
      <c r="H80" s="71">
        <v>0</v>
      </c>
      <c r="I80" s="71">
        <v>0</v>
      </c>
      <c r="J80" s="38">
        <f t="shared" si="19"/>
        <v>0</v>
      </c>
      <c r="L80" s="14"/>
    </row>
    <row r="81" spans="1:12">
      <c r="A81" s="28"/>
      <c r="B81" s="70" t="s">
        <v>75</v>
      </c>
      <c r="C81" s="46"/>
      <c r="D81" s="46"/>
      <c r="E81" s="71">
        <v>0</v>
      </c>
      <c r="F81" s="71">
        <v>0</v>
      </c>
      <c r="G81" s="71">
        <v>0</v>
      </c>
      <c r="H81" s="71">
        <v>0</v>
      </c>
      <c r="I81" s="71">
        <v>0</v>
      </c>
      <c r="J81" s="38">
        <f t="shared" si="19"/>
        <v>0</v>
      </c>
      <c r="L81" s="14"/>
    </row>
    <row r="82" spans="1:12">
      <c r="A82" s="28"/>
      <c r="B82" s="70" t="s">
        <v>76</v>
      </c>
      <c r="C82" s="46"/>
      <c r="D82" s="46"/>
      <c r="E82" s="71">
        <v>0</v>
      </c>
      <c r="F82" s="71">
        <v>0</v>
      </c>
      <c r="G82" s="71">
        <v>0</v>
      </c>
      <c r="H82" s="71">
        <v>0</v>
      </c>
      <c r="I82" s="71">
        <v>0</v>
      </c>
      <c r="J82" s="38">
        <f t="shared" si="19"/>
        <v>0</v>
      </c>
      <c r="L82" s="14"/>
    </row>
    <row r="83" spans="1:12">
      <c r="A83" s="28"/>
      <c r="B83" s="70" t="s">
        <v>77</v>
      </c>
      <c r="C83" s="46"/>
      <c r="D83" s="46"/>
      <c r="E83" s="71">
        <v>0</v>
      </c>
      <c r="F83" s="71">
        <v>0</v>
      </c>
      <c r="G83" s="71">
        <v>0</v>
      </c>
      <c r="H83" s="71">
        <v>0</v>
      </c>
      <c r="I83" s="71">
        <v>0</v>
      </c>
      <c r="J83" s="38">
        <f t="shared" si="19"/>
        <v>0</v>
      </c>
      <c r="L83" s="14"/>
    </row>
    <row r="84" spans="1:12">
      <c r="A84" s="28"/>
      <c r="B84" s="74" t="s">
        <v>17</v>
      </c>
      <c r="C84" s="75"/>
      <c r="D84" s="75"/>
      <c r="E84" s="76">
        <v>0</v>
      </c>
      <c r="F84" s="77">
        <v>0</v>
      </c>
      <c r="G84" s="77">
        <v>0</v>
      </c>
      <c r="H84" s="77">
        <v>0</v>
      </c>
      <c r="I84" s="77">
        <v>0</v>
      </c>
      <c r="J84" s="78">
        <f>SUM(E84:I84)</f>
        <v>0</v>
      </c>
      <c r="L84" s="14"/>
    </row>
    <row r="85" spans="1:12">
      <c r="A85" s="28"/>
      <c r="B85" s="79" t="s">
        <v>78</v>
      </c>
      <c r="C85" s="58"/>
      <c r="D85" s="58"/>
      <c r="E85" s="80">
        <f>SUM(E74:E84)</f>
        <v>0</v>
      </c>
      <c r="F85" s="80">
        <f t="shared" ref="F85:I85" si="20">SUM(F74:F84)</f>
        <v>0</v>
      </c>
      <c r="G85" s="80">
        <f t="shared" si="20"/>
        <v>0</v>
      </c>
      <c r="H85" s="80">
        <f t="shared" si="20"/>
        <v>0</v>
      </c>
      <c r="I85" s="80">
        <f t="shared" si="20"/>
        <v>0</v>
      </c>
      <c r="J85" s="60">
        <f t="shared" si="19"/>
        <v>0</v>
      </c>
      <c r="L85" s="14"/>
    </row>
    <row r="86" spans="1:12">
      <c r="A86" s="28"/>
      <c r="B86" s="50" t="s">
        <v>79</v>
      </c>
      <c r="C86" s="58"/>
      <c r="D86" s="46"/>
      <c r="E86" s="59">
        <f>SUM(E64:E84)</f>
        <v>0</v>
      </c>
      <c r="F86" s="59">
        <f>SUM(F64:F84)</f>
        <v>0</v>
      </c>
      <c r="G86" s="59">
        <f>SUM(G64:G84)</f>
        <v>0</v>
      </c>
      <c r="H86" s="59">
        <f>SUM(H64:H84)</f>
        <v>0</v>
      </c>
      <c r="I86" s="59">
        <f>SUM(I64:I84)</f>
        <v>0</v>
      </c>
      <c r="J86" s="60">
        <f t="shared" si="17"/>
        <v>0</v>
      </c>
    </row>
    <row r="87" spans="1:12" ht="4.5" customHeight="1">
      <c r="A87" s="28"/>
      <c r="B87" s="45"/>
      <c r="C87" s="46"/>
      <c r="D87" s="46"/>
      <c r="E87" s="48"/>
      <c r="F87" s="48"/>
      <c r="G87" s="48"/>
      <c r="H87" s="48"/>
      <c r="I87" s="48"/>
      <c r="J87" s="38"/>
    </row>
    <row r="88" spans="1:12">
      <c r="A88" s="28" t="s">
        <v>80</v>
      </c>
      <c r="B88" s="58" t="s">
        <v>81</v>
      </c>
      <c r="C88" s="52"/>
      <c r="D88" s="46"/>
      <c r="E88" s="81">
        <f>E54+E56+E58+E59+E61+E86</f>
        <v>0</v>
      </c>
      <c r="F88" s="81">
        <f>F54+F56+F58+F59+F61+F86</f>
        <v>0</v>
      </c>
      <c r="G88" s="81">
        <f>G54+G56+G58+G59+G61+G86</f>
        <v>0</v>
      </c>
      <c r="H88" s="81">
        <f>H54+H56+H58+H59+H61+H86</f>
        <v>0</v>
      </c>
      <c r="I88" s="81">
        <f>I54+I56+I58+I59+I61+I86</f>
        <v>0</v>
      </c>
      <c r="J88" s="60">
        <f>SUM(E88:I88)</f>
        <v>0</v>
      </c>
    </row>
    <row r="89" spans="1:12">
      <c r="A89" s="28"/>
      <c r="B89" s="82" t="str">
        <f>IF($C$3="","",IF($C$3=AC4,"MTDC Base Cost",IF($C$3=AC5,"TDC Base Cost","Other Base Cost")))</f>
        <v>MTDC Base Cost</v>
      </c>
      <c r="C89" s="83"/>
      <c r="D89" s="83"/>
      <c r="E89" s="84">
        <f>IF($C$3="",0,IF($C$3=$AC$4,E88-E56-E61-SUMIF($B$64:$B$84,$B$70,E64:E84)-E74-E68,E88-E74))</f>
        <v>0</v>
      </c>
      <c r="F89" s="84">
        <f>IF($C$3="",0,IF($C$3=$AC$4,F88-F56-F61-SUMIF($B$64:$B$84,$B$70,F64:F84)-F74-F68,F88-F74))</f>
        <v>0</v>
      </c>
      <c r="G89" s="84">
        <f>IF($C$3="",0,IF($C$3=$AC$4,G88-G56-G61-SUMIF($B$64:$B$84,$B$70,G64:G84)-G74-G68,G88-G74))</f>
        <v>0</v>
      </c>
      <c r="H89" s="84">
        <f>IF($C$3="",0,IF($C$3=$AC$4,H88-H56-H61-SUMIF($B$64:$B$84,$B$70,H64:H84)-H74-H68,H88-H74))</f>
        <v>0</v>
      </c>
      <c r="I89" s="84">
        <f>IF($C$3="",0,IF($C$3=$AC$4,I88-I56-I61-SUMIF($B$64:$B$84,$B$70,I64:I84)-I74-I68,I88-I74))</f>
        <v>0</v>
      </c>
      <c r="J89" s="85">
        <f>SUM(E89:I89)</f>
        <v>0</v>
      </c>
    </row>
    <row r="90" spans="1:12" ht="4.5" customHeight="1">
      <c r="A90" s="28"/>
      <c r="B90" s="45"/>
      <c r="C90" s="83"/>
      <c r="D90" s="83"/>
      <c r="E90" s="84"/>
      <c r="F90" s="84"/>
      <c r="G90" s="84"/>
      <c r="H90" s="84"/>
      <c r="I90" s="84"/>
      <c r="J90" s="85"/>
    </row>
    <row r="91" spans="1:12">
      <c r="A91" s="28" t="s">
        <v>82</v>
      </c>
      <c r="B91" s="58" t="s">
        <v>83</v>
      </c>
      <c r="C91" s="52"/>
      <c r="D91" s="46"/>
      <c r="E91" s="81" t="str">
        <f>IF($C$4="TBD","TBD",IF(E88=0,"TBD",ROUND($C$4*E89,0)))</f>
        <v>TBD</v>
      </c>
      <c r="F91" s="81" t="str">
        <f t="shared" ref="F91:I91" si="21">IF($C$4="TBD","TBD",IF(F88=0,"TBD",ROUND($C$4*F89,0)))</f>
        <v>TBD</v>
      </c>
      <c r="G91" s="81" t="str">
        <f t="shared" si="21"/>
        <v>TBD</v>
      </c>
      <c r="H91" s="81" t="str">
        <f t="shared" si="21"/>
        <v>TBD</v>
      </c>
      <c r="I91" s="81" t="str">
        <f t="shared" si="21"/>
        <v>TBD</v>
      </c>
      <c r="J91" s="60">
        <f>SUM(E91:I91)</f>
        <v>0</v>
      </c>
    </row>
    <row r="92" spans="1:12" ht="4.5" customHeight="1">
      <c r="A92" s="28"/>
      <c r="B92" s="45"/>
      <c r="C92" s="46"/>
      <c r="D92" s="46"/>
      <c r="E92" s="48"/>
      <c r="F92" s="48"/>
      <c r="G92" s="48"/>
      <c r="H92" s="48"/>
      <c r="I92" s="48"/>
      <c r="J92" s="38"/>
    </row>
    <row r="93" spans="1:12" ht="13.5" thickBot="1">
      <c r="A93" s="86" t="s">
        <v>84</v>
      </c>
      <c r="B93" s="87" t="s">
        <v>85</v>
      </c>
      <c r="C93" s="88"/>
      <c r="D93" s="88"/>
      <c r="E93" s="89" t="str">
        <f>IF($C$4="TBD","TBD",IF(E88=0,"TBD",E91+E88))</f>
        <v>TBD</v>
      </c>
      <c r="F93" s="89" t="str">
        <f t="shared" ref="F93:I93" si="22">IF($C$4="TBD","TBD",IF(F88=0,"TBD",F91+F88))</f>
        <v>TBD</v>
      </c>
      <c r="G93" s="89" t="str">
        <f t="shared" si="22"/>
        <v>TBD</v>
      </c>
      <c r="H93" s="89" t="str">
        <f t="shared" si="22"/>
        <v>TBD</v>
      </c>
      <c r="I93" s="89" t="str">
        <f t="shared" si="22"/>
        <v>TBD</v>
      </c>
      <c r="J93" s="90">
        <f>SUM(E93:I93)</f>
        <v>0</v>
      </c>
    </row>
    <row r="94" spans="1:12" ht="4.5" customHeight="1" thickBot="1">
      <c r="A94" s="6"/>
      <c r="B94" s="14"/>
      <c r="C94" s="6"/>
      <c r="D94" s="6"/>
      <c r="E94" s="6"/>
      <c r="F94" s="6"/>
      <c r="G94" s="6"/>
      <c r="H94" s="6"/>
      <c r="I94" s="6"/>
      <c r="J94" s="6"/>
    </row>
    <row r="95" spans="1:12" ht="12.75" customHeight="1">
      <c r="A95" s="275" t="s">
        <v>86</v>
      </c>
      <c r="B95" s="91" t="s">
        <v>87</v>
      </c>
      <c r="C95" s="92"/>
      <c r="D95" s="91"/>
      <c r="E95" s="93">
        <f>IF(E93="TBD",0,E91/E93)</f>
        <v>0</v>
      </c>
      <c r="F95" s="93">
        <f t="shared" ref="F95:I95" si="23">IF(F93="TBD",0,F91/F93)</f>
        <v>0</v>
      </c>
      <c r="G95" s="93">
        <f t="shared" si="23"/>
        <v>0</v>
      </c>
      <c r="H95" s="93">
        <f t="shared" si="23"/>
        <v>0</v>
      </c>
      <c r="I95" s="93">
        <f t="shared" si="23"/>
        <v>0</v>
      </c>
      <c r="J95" s="94">
        <f>IF(J93=0,0,J91/J93)</f>
        <v>0</v>
      </c>
    </row>
    <row r="96" spans="1:12" ht="13.5" thickBot="1">
      <c r="A96" s="276"/>
      <c r="B96" s="95" t="s">
        <v>88</v>
      </c>
      <c r="C96" s="96"/>
      <c r="D96" s="95"/>
      <c r="E96" s="97">
        <f t="shared" ref="E96:J96" si="24">IF($C$4=$J$1,0,ROUND($J$1*(E88-E56-E61-E68-SUMIF($B$64:$B$84,$B$70,E64:E84)-E74),0)- ROUND($C$4*E89,0))</f>
        <v>0</v>
      </c>
      <c r="F96" s="97">
        <f t="shared" si="24"/>
        <v>0</v>
      </c>
      <c r="G96" s="97">
        <f t="shared" si="24"/>
        <v>0</v>
      </c>
      <c r="H96" s="97">
        <f t="shared" si="24"/>
        <v>0</v>
      </c>
      <c r="I96" s="97">
        <f t="shared" si="24"/>
        <v>0</v>
      </c>
      <c r="J96" s="98">
        <f t="shared" si="24"/>
        <v>0</v>
      </c>
    </row>
    <row r="97" spans="6:9">
      <c r="F97" s="101"/>
      <c r="G97" s="101"/>
      <c r="H97" s="101"/>
      <c r="I97" s="101"/>
    </row>
    <row r="98" spans="6:9">
      <c r="F98" s="101"/>
      <c r="G98" s="101"/>
      <c r="H98" s="101"/>
      <c r="I98" s="101"/>
    </row>
    <row r="161" spans="18:18">
      <c r="R161" s="266"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7"/>
    </row>
    <row r="163" spans="18:18">
      <c r="R163" s="267"/>
    </row>
    <row r="164" spans="18:18">
      <c r="R164" s="267"/>
    </row>
    <row r="165" spans="18:18">
      <c r="R165" s="267"/>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DE3521A5-378B-46F3-BF69-3C1AAD54C1E5}"/>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EA8ADBC2-0C65-45F7-83B6-80274A1547D8}"/>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AE3E6826-975D-4FFE-A052-BA9A347806BD}"/>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4DA83E7D-284C-4C93-995A-30657402F5F4}"/>
  </dataValidations>
  <hyperlinks>
    <hyperlink ref="B79" r:id="rId1" xr:uid="{00000000-0004-0000-0000-000007000000}"/>
    <hyperlink ref="F4" r:id="rId2" xr:uid="{7C9A08C0-1E4B-430A-8115-09B23F425D22}"/>
    <hyperlink ref="F7" r:id="rId3" xr:uid="{896E9ED5-CE84-4D56-83A9-6BFFAF281C32}"/>
    <hyperlink ref="F8" r:id="rId4" xr:uid="{361DE0A4-6513-4A9E-90C4-B8A6F4B1D0BD}"/>
    <hyperlink ref="F3" r:id="rId5" xr:uid="{6C7D416F-4F7D-458E-A852-7FB2FAAD78A0}"/>
    <hyperlink ref="F1" r:id="rId6" xr:uid="{51258973-35DB-4B7D-A045-732291CF30E2}"/>
    <hyperlink ref="F2" r:id="rId7" xr:uid="{62E23916-0E70-47D8-B618-42648090BB63}"/>
    <hyperlink ref="F5" r:id="rId8" display="Fringe Benefit Rate (GRA)" xr:uid="{047F9AAE-963D-4D4F-85DC-27EBF4EC0C7D}"/>
    <hyperlink ref="F6" r:id="rId9" display="Fringe Benefit Rate (GRA)" xr:uid="{9AD83AA2-DDC0-4700-8DB8-9C2461DAACA4}"/>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workbookViewId="0">
      <selection activeCell="B3" sqref="B3"/>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45885</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9" t="s">
        <v>138</v>
      </c>
      <c r="B8" s="289"/>
      <c r="C8" s="289"/>
      <c r="D8" s="289"/>
      <c r="E8" s="289"/>
      <c r="F8" s="289"/>
    </row>
    <row r="10" spans="1:14" s="133" customFormat="1">
      <c r="A10" s="126" t="s">
        <v>89</v>
      </c>
      <c r="B10" s="129"/>
      <c r="C10" s="127" t="s">
        <v>35</v>
      </c>
      <c r="D10" s="130"/>
      <c r="E10" s="127" t="s">
        <v>36</v>
      </c>
      <c r="F10" s="130"/>
      <c r="M10" s="132"/>
      <c r="N10" s="132"/>
    </row>
    <row r="11" spans="1:14" ht="28.5">
      <c r="A11" s="145" t="s">
        <v>119</v>
      </c>
      <c r="B11" s="106"/>
      <c r="C11" s="107" t="s">
        <v>96</v>
      </c>
      <c r="D11" s="108">
        <v>0</v>
      </c>
      <c r="E11" s="107" t="s">
        <v>96</v>
      </c>
      <c r="F11" s="108">
        <v>0</v>
      </c>
      <c r="M11" s="104"/>
      <c r="N11" s="104"/>
    </row>
    <row r="12" spans="1:14" ht="15" customHeight="1">
      <c r="A12" s="105" t="s">
        <v>96</v>
      </c>
      <c r="B12" s="109"/>
      <c r="C12" s="107" t="s">
        <v>90</v>
      </c>
      <c r="D12" s="110"/>
      <c r="E12" s="107" t="s">
        <v>90</v>
      </c>
      <c r="F12" s="110"/>
      <c r="M12" s="104"/>
      <c r="N12" s="104"/>
    </row>
    <row r="13" spans="1:14" ht="15" customHeight="1">
      <c r="A13" s="105" t="s">
        <v>90</v>
      </c>
      <c r="B13" s="110"/>
      <c r="C13" s="107" t="s">
        <v>91</v>
      </c>
      <c r="D13" s="111"/>
      <c r="E13" s="107" t="s">
        <v>91</v>
      </c>
      <c r="F13" s="111"/>
      <c r="M13" s="104"/>
      <c r="N13" s="104"/>
    </row>
    <row r="14" spans="1:14" ht="15" customHeight="1">
      <c r="A14" s="105" t="s">
        <v>91</v>
      </c>
      <c r="B14" s="111"/>
      <c r="C14" s="112"/>
      <c r="D14" s="113">
        <f>IFERROR(ROUND(((D11*((IF($B$11="YES",1.03,IF($B$11="no",1,"n/a"))/D12))*D13)),0),0)</f>
        <v>0</v>
      </c>
      <c r="E14" s="112"/>
      <c r="F14" s="113">
        <f>IFERROR(ROUND(((F11*((IF($B$11="YES",1.03,IF($B$11="no",1,"n/a"))/F12))*F13)),0),0)</f>
        <v>0</v>
      </c>
      <c r="M14" s="104"/>
      <c r="N14" s="104"/>
    </row>
    <row r="15" spans="1:14" ht="15" customHeight="1">
      <c r="A15" s="114"/>
      <c r="B15" s="113">
        <f>IFERROR(ROUND(((B12*((IF($B$11="YES",1.03,IF($B$11="no",1,"n/a"))/B13))*B14)),0),0)</f>
        <v>0</v>
      </c>
      <c r="C15" s="112"/>
      <c r="D15" s="115"/>
      <c r="E15" s="107"/>
      <c r="F15" s="107"/>
      <c r="M15" s="104"/>
      <c r="N15" s="104"/>
    </row>
    <row r="16" spans="1:14" ht="15" customHeight="1">
      <c r="A16" s="116"/>
      <c r="B16" s="107"/>
      <c r="C16" s="107"/>
      <c r="D16" s="107"/>
      <c r="E16" s="107"/>
      <c r="F16" s="107"/>
      <c r="G16" s="107"/>
      <c r="H16" s="107"/>
      <c r="I16" s="107"/>
      <c r="J16" s="107"/>
      <c r="K16" s="107"/>
      <c r="L16" s="107"/>
      <c r="M16" s="104"/>
      <c r="N16" s="104"/>
    </row>
    <row r="17" spans="1:14" ht="15" customHeight="1">
      <c r="A17" s="127" t="s">
        <v>37</v>
      </c>
      <c r="B17" s="130"/>
      <c r="C17" s="127" t="s">
        <v>38</v>
      </c>
      <c r="D17" s="130"/>
      <c r="E17" s="130" t="s">
        <v>39</v>
      </c>
      <c r="F17" s="130"/>
      <c r="G17" s="107"/>
      <c r="H17" s="107"/>
      <c r="I17" s="107"/>
      <c r="J17" s="107"/>
      <c r="K17" s="107"/>
      <c r="L17" s="107"/>
      <c r="M17" s="104"/>
      <c r="N17" s="104"/>
    </row>
    <row r="18" spans="1:14" s="133" customFormat="1" ht="14.25">
      <c r="A18" s="107" t="s">
        <v>96</v>
      </c>
      <c r="B18" s="108">
        <v>0</v>
      </c>
      <c r="C18" s="107" t="s">
        <v>96</v>
      </c>
      <c r="D18" s="108">
        <v>0</v>
      </c>
      <c r="E18" s="107" t="s">
        <v>96</v>
      </c>
      <c r="F18" s="108">
        <v>0</v>
      </c>
      <c r="I18" s="136"/>
      <c r="J18" s="136"/>
      <c r="K18" s="136"/>
      <c r="L18" s="136"/>
      <c r="M18" s="132"/>
      <c r="N18" s="132"/>
    </row>
    <row r="19" spans="1:14" ht="15" customHeight="1">
      <c r="A19" s="107" t="s">
        <v>90</v>
      </c>
      <c r="B19" s="110"/>
      <c r="C19" s="107" t="s">
        <v>90</v>
      </c>
      <c r="D19" s="110"/>
      <c r="E19" s="107" t="s">
        <v>90</v>
      </c>
      <c r="F19" s="110"/>
      <c r="I19" s="107"/>
      <c r="J19" s="107"/>
      <c r="K19" s="107"/>
      <c r="L19" s="107"/>
      <c r="M19" s="104"/>
      <c r="N19" s="104"/>
    </row>
    <row r="20" spans="1:14" ht="15" customHeight="1">
      <c r="A20" s="107" t="s">
        <v>91</v>
      </c>
      <c r="B20" s="111"/>
      <c r="C20" s="107" t="s">
        <v>91</v>
      </c>
      <c r="D20" s="111"/>
      <c r="E20" s="107" t="s">
        <v>91</v>
      </c>
      <c r="F20" s="111"/>
      <c r="I20" s="107"/>
      <c r="J20" s="107"/>
      <c r="K20" s="107"/>
      <c r="L20" s="107"/>
      <c r="M20" s="104"/>
      <c r="N20" s="104"/>
    </row>
    <row r="21" spans="1:14" ht="15" customHeight="1">
      <c r="A21" s="112"/>
      <c r="B21" s="113">
        <f>IFERROR(ROUND(((B18*((IF($B$11="YES",1.03,IF($B$11="no",1,"n/a"))/B19))*B20)),0),0)</f>
        <v>0</v>
      </c>
      <c r="C21" s="112"/>
      <c r="D21" s="113">
        <f>IFERROR(ROUND(((D18*((IF($B$11="YES",1.03,IF($B$11="no",1,"n/a"))/D19))*D20)),0),0)</f>
        <v>0</v>
      </c>
      <c r="E21" s="112"/>
      <c r="F21" s="113">
        <f>IFERROR(ROUND(((F18*((IF($B$11="YES",1.03,IF($B$11="no",1,"n/a"))/F19))*F20)),0),0)</f>
        <v>0</v>
      </c>
      <c r="I21" s="107"/>
      <c r="J21" s="107"/>
      <c r="K21" s="107"/>
      <c r="L21" s="107"/>
      <c r="M21" s="104"/>
      <c r="N21" s="104"/>
    </row>
    <row r="22" spans="1:14" ht="15" customHeight="1">
      <c r="A22" s="107"/>
      <c r="B22" s="107"/>
      <c r="I22" s="107"/>
      <c r="J22" s="107"/>
      <c r="K22" s="107"/>
      <c r="L22" s="107"/>
      <c r="M22" s="104"/>
      <c r="N22" s="104"/>
    </row>
    <row r="23" spans="1:14" ht="15" customHeight="1">
      <c r="A23" s="128" t="s">
        <v>92</v>
      </c>
      <c r="B23" s="129"/>
      <c r="C23" s="128" t="s">
        <v>44</v>
      </c>
      <c r="D23" s="129"/>
      <c r="E23" s="134" t="s">
        <v>47</v>
      </c>
      <c r="F23" s="129"/>
      <c r="I23" s="107"/>
      <c r="J23" s="107"/>
      <c r="K23" s="107"/>
      <c r="L23" s="107"/>
      <c r="M23" s="104"/>
      <c r="N23" s="104"/>
    </row>
    <row r="24" spans="1:14" ht="15" customHeight="1">
      <c r="A24" s="105" t="s">
        <v>96</v>
      </c>
      <c r="B24" s="109">
        <v>0</v>
      </c>
      <c r="C24" s="105" t="s">
        <v>96</v>
      </c>
      <c r="D24" s="109"/>
      <c r="E24" s="105" t="s">
        <v>102</v>
      </c>
      <c r="F24" s="109"/>
      <c r="I24" s="107"/>
      <c r="J24" s="107"/>
      <c r="K24" s="107"/>
      <c r="L24" s="107"/>
      <c r="M24" s="104"/>
      <c r="N24" s="104"/>
    </row>
    <row r="25" spans="1:14" ht="15" customHeight="1">
      <c r="A25" s="105" t="s">
        <v>90</v>
      </c>
      <c r="B25" s="110"/>
      <c r="C25" s="105" t="s">
        <v>90</v>
      </c>
      <c r="D25" s="110"/>
      <c r="E25" s="105" t="s">
        <v>103</v>
      </c>
      <c r="F25" s="110"/>
      <c r="I25" s="107"/>
      <c r="J25" s="107"/>
      <c r="K25" s="107"/>
      <c r="L25" s="107"/>
      <c r="M25" s="104"/>
      <c r="N25" s="104"/>
    </row>
    <row r="26" spans="1:14" ht="15" customHeight="1">
      <c r="A26" s="105" t="s">
        <v>91</v>
      </c>
      <c r="B26" s="111"/>
      <c r="C26" s="105" t="s">
        <v>91</v>
      </c>
      <c r="D26" s="111"/>
      <c r="E26" s="105" t="s">
        <v>91</v>
      </c>
      <c r="F26" s="111"/>
      <c r="I26" s="107"/>
      <c r="J26" s="107"/>
      <c r="K26" s="107"/>
      <c r="L26" s="107"/>
      <c r="M26" s="104"/>
      <c r="N26" s="104"/>
    </row>
    <row r="27" spans="1:14" ht="15" customHeight="1">
      <c r="A27" s="114"/>
      <c r="B27" s="113">
        <f>IFERROR(ROUND(((B24*((IF($B$11="YES",1.03,IF($B$11="no",1,"n/a"))/B25))*B26)),0),0)</f>
        <v>0</v>
      </c>
      <c r="C27" s="114"/>
      <c r="D27" s="113">
        <f>IFERROR(ROUND(((D24*((IF($B$11="YES",1.03,IF($B$11="no",1,"n/a"))/D25))*D26)),0),0)</f>
        <v>0</v>
      </c>
      <c r="E27" s="114"/>
      <c r="F27" s="113">
        <f>IFERROR(ROUND(((F24*((IF($B$11="YES",1.03,IF($B$11="no",1,"n/a"))*F25))*F26)),0),0)</f>
        <v>0</v>
      </c>
      <c r="I27" s="107"/>
      <c r="J27" s="107"/>
      <c r="K27" s="107"/>
      <c r="L27" s="107"/>
      <c r="M27" s="104"/>
      <c r="N27" s="104"/>
    </row>
    <row r="28" spans="1:14" ht="15" customHeight="1">
      <c r="A28" s="107"/>
      <c r="B28" s="107"/>
      <c r="C28" s="107"/>
      <c r="D28" s="107"/>
      <c r="E28" s="107"/>
      <c r="F28" s="107"/>
      <c r="G28" s="107"/>
      <c r="H28" s="107"/>
      <c r="I28" s="107"/>
      <c r="J28" s="107"/>
      <c r="K28" s="107"/>
      <c r="L28" s="107"/>
      <c r="M28" s="104"/>
      <c r="N28" s="104"/>
    </row>
    <row r="29" spans="1:14" ht="15" customHeight="1">
      <c r="A29" s="135" t="s">
        <v>48</v>
      </c>
      <c r="B29" s="129"/>
      <c r="C29" s="137" t="s">
        <v>93</v>
      </c>
      <c r="D29" s="138"/>
      <c r="E29" s="117" t="s">
        <v>46</v>
      </c>
      <c r="F29" s="174"/>
      <c r="I29" s="107"/>
      <c r="J29" s="107"/>
      <c r="K29" s="107"/>
      <c r="L29" s="107"/>
      <c r="M29" s="104"/>
      <c r="N29" s="104"/>
    </row>
    <row r="30" spans="1:14" ht="15" customHeight="1">
      <c r="A30" s="105" t="s">
        <v>102</v>
      </c>
      <c r="B30" s="109"/>
      <c r="C30" s="107" t="s">
        <v>94</v>
      </c>
      <c r="D30" s="119"/>
      <c r="E30" s="107" t="s">
        <v>105</v>
      </c>
      <c r="F30" s="120"/>
      <c r="I30" s="107"/>
      <c r="J30" s="107"/>
      <c r="K30" s="107"/>
      <c r="L30" s="107"/>
      <c r="M30" s="104"/>
      <c r="N30" s="104"/>
    </row>
    <row r="31" spans="1:14" ht="15" customHeight="1">
      <c r="A31" s="105" t="s">
        <v>103</v>
      </c>
      <c r="B31" s="110"/>
      <c r="C31" s="105" t="s">
        <v>96</v>
      </c>
      <c r="D31" s="139"/>
      <c r="E31" s="107" t="s">
        <v>95</v>
      </c>
      <c r="F31" s="121"/>
      <c r="J31" s="107"/>
      <c r="K31" s="107"/>
      <c r="L31" s="107"/>
      <c r="M31" s="104"/>
      <c r="N31" s="104"/>
    </row>
    <row r="32" spans="1:14" ht="15" customHeight="1">
      <c r="A32" s="105" t="s">
        <v>91</v>
      </c>
      <c r="B32" s="111"/>
      <c r="C32" s="105" t="s">
        <v>101</v>
      </c>
      <c r="D32" s="140"/>
      <c r="E32" s="122" t="s">
        <v>106</v>
      </c>
      <c r="F32" s="118"/>
      <c r="J32" s="107"/>
      <c r="K32" s="107"/>
      <c r="L32" s="107"/>
      <c r="M32" s="104"/>
      <c r="N32" s="104"/>
    </row>
    <row r="33" spans="1:14" ht="15" customHeight="1">
      <c r="A33" s="114"/>
      <c r="B33" s="113">
        <f>IFERROR(ROUND(((B30*((IF($B$11="YES",1.03,IF($B$11="no",1,"n/a"))*B31))*B32)),0),0)</f>
        <v>0</v>
      </c>
      <c r="C33" s="105" t="s">
        <v>91</v>
      </c>
      <c r="D33" s="111"/>
      <c r="E33" s="107" t="s">
        <v>104</v>
      </c>
      <c r="F33" s="120"/>
      <c r="J33" s="107"/>
      <c r="K33" s="107"/>
      <c r="L33" s="107"/>
      <c r="M33" s="104"/>
      <c r="N33" s="104"/>
    </row>
    <row r="34" spans="1:14" ht="15" customHeight="1">
      <c r="C34" s="112"/>
      <c r="D34" s="113">
        <f>IFERROR(ROUND(((D31*((IF(B11="YES",1.03,IF(B11="no",1,"n/a"))/D32))*D33))*D30,0),0)</f>
        <v>0</v>
      </c>
      <c r="E34" s="107" t="s">
        <v>107</v>
      </c>
      <c r="F34" s="121"/>
      <c r="G34" s="107"/>
      <c r="H34" s="107"/>
      <c r="I34" s="107"/>
      <c r="J34" s="107"/>
      <c r="K34" s="107"/>
      <c r="L34" s="107"/>
      <c r="M34" s="104"/>
      <c r="N34" s="104"/>
    </row>
    <row r="35" spans="1:14" ht="15" customHeight="1">
      <c r="C35" s="255" t="s">
        <v>173</v>
      </c>
      <c r="E35" s="122" t="s">
        <v>108</v>
      </c>
      <c r="F35" s="118"/>
      <c r="G35" s="107"/>
      <c r="H35" s="107"/>
      <c r="I35" s="107"/>
      <c r="J35" s="107"/>
      <c r="K35" s="107"/>
      <c r="L35" s="107"/>
      <c r="M35" s="104"/>
      <c r="N35" s="104"/>
    </row>
    <row r="36" spans="1:14" ht="15" customHeight="1">
      <c r="C36" s="104" t="s">
        <v>94</v>
      </c>
      <c r="D36" s="256"/>
      <c r="E36" s="107" t="s">
        <v>109</v>
      </c>
      <c r="F36" s="120"/>
      <c r="G36" s="107"/>
      <c r="H36" s="107"/>
      <c r="I36" s="107"/>
      <c r="J36" s="107"/>
      <c r="K36" s="107"/>
      <c r="L36" s="107"/>
      <c r="M36" s="104"/>
      <c r="N36" s="104"/>
    </row>
    <row r="37" spans="1:14" ht="15" customHeight="1">
      <c r="C37" s="257" t="s">
        <v>96</v>
      </c>
      <c r="D37" s="139"/>
      <c r="E37" s="107" t="s">
        <v>110</v>
      </c>
      <c r="F37" s="121"/>
      <c r="G37" s="107"/>
      <c r="H37" s="107"/>
    </row>
    <row r="38" spans="1:14" ht="15" customHeight="1" thickBot="1">
      <c r="C38" s="257" t="s">
        <v>101</v>
      </c>
      <c r="D38" s="258"/>
      <c r="E38" s="123" t="s">
        <v>111</v>
      </c>
      <c r="F38" s="124"/>
      <c r="G38" s="107"/>
      <c r="H38" s="107"/>
    </row>
    <row r="39" spans="1:14" ht="15" customHeight="1" thickTop="1">
      <c r="C39" s="257" t="s">
        <v>91</v>
      </c>
      <c r="D39" s="259"/>
      <c r="E39" s="107"/>
      <c r="F39" s="125">
        <f>ROUND((F30*F31*F32)+(F33*F34*F35)+(F36*F37*F38),0)</f>
        <v>0</v>
      </c>
      <c r="G39" s="107"/>
      <c r="H39" s="107"/>
    </row>
    <row r="40" spans="1:14" ht="15" customHeight="1">
      <c r="C40" s="112"/>
      <c r="D40" s="260">
        <f>IFERROR(ROUND((D37/D38)*D39*D36,0),0)</f>
        <v>0</v>
      </c>
      <c r="E40" s="107"/>
      <c r="F40" s="107"/>
      <c r="G40" s="107"/>
      <c r="H40" s="107"/>
    </row>
    <row r="41" spans="1:14" ht="15" customHeight="1">
      <c r="C41" s="112"/>
      <c r="D41" s="261"/>
      <c r="E41" s="107"/>
      <c r="F41" s="107"/>
      <c r="G41" s="107"/>
      <c r="H41" s="107"/>
    </row>
    <row r="42" spans="1:14" ht="15" customHeight="1">
      <c r="A42" s="286" t="s">
        <v>150</v>
      </c>
      <c r="B42" s="286"/>
      <c r="C42" s="286"/>
      <c r="D42" s="286"/>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8" t="s">
        <v>139</v>
      </c>
      <c r="B51" s="288"/>
      <c r="C51" s="288"/>
      <c r="D51" s="288"/>
    </row>
    <row r="52" spans="1:12" ht="15" customHeight="1">
      <c r="E52" s="6"/>
      <c r="F52" s="6"/>
      <c r="G52" s="6"/>
      <c r="H52" s="6"/>
      <c r="I52" s="6"/>
      <c r="J52" s="6"/>
      <c r="K52" s="6"/>
      <c r="L52" s="6"/>
    </row>
    <row r="53" spans="1:12" ht="15" customHeight="1">
      <c r="A53" s="149" t="s">
        <v>121</v>
      </c>
      <c r="B53" s="150" t="s">
        <v>122</v>
      </c>
      <c r="C53" s="151" t="s">
        <v>123</v>
      </c>
      <c r="D53" s="52" t="s">
        <v>124</v>
      </c>
      <c r="E53" s="6"/>
      <c r="F53" s="214"/>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2"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2"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v>0</v>
      </c>
      <c r="D79" s="159">
        <f>B79*C79</f>
        <v>0</v>
      </c>
    </row>
    <row r="80" spans="1:4" ht="15" customHeight="1">
      <c r="A80" s="141" t="s">
        <v>137</v>
      </c>
      <c r="B80" s="6"/>
      <c r="C80" s="160">
        <v>0.7</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7" t="s">
        <v>153</v>
      </c>
      <c r="B89" s="287"/>
      <c r="C89" s="287"/>
      <c r="D89" s="287"/>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GGIS Grad AY25'!$E$6:$F$6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A7" sqref="A7"/>
    </sheetView>
  </sheetViews>
  <sheetFormatPr defaultRowHeight="12.75"/>
  <cols>
    <col min="1" max="1" width="24.42578125" style="235" bestFit="1" customWidth="1"/>
    <col min="2" max="2" width="7.7109375" style="235" customWidth="1"/>
    <col min="3" max="3" width="4.42578125" style="235" bestFit="1" customWidth="1"/>
    <col min="4" max="4" width="10.28515625" style="235" bestFit="1" customWidth="1"/>
    <col min="5" max="5" width="11.28515625" style="235" bestFit="1" customWidth="1"/>
    <col min="6"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175</v>
      </c>
    </row>
    <row r="2" spans="1:6" ht="13.5" thickBot="1"/>
    <row r="3" spans="1:6" ht="16.5" thickBot="1">
      <c r="A3" s="216" t="s">
        <v>165</v>
      </c>
      <c r="B3" s="217"/>
      <c r="C3" s="217"/>
      <c r="D3" s="217"/>
      <c r="E3" s="217"/>
      <c r="F3" s="218"/>
    </row>
    <row r="4" spans="1:6">
      <c r="A4" s="219"/>
      <c r="B4" s="290" t="s">
        <v>166</v>
      </c>
      <c r="D4" s="291" t="s">
        <v>167</v>
      </c>
      <c r="E4" s="292"/>
      <c r="F4" s="293"/>
    </row>
    <row r="5" spans="1:6">
      <c r="A5" s="220" t="s">
        <v>97</v>
      </c>
      <c r="B5" s="290"/>
      <c r="D5" s="221" t="s">
        <v>98</v>
      </c>
      <c r="E5" s="222" t="s">
        <v>99</v>
      </c>
      <c r="F5" s="223" t="s">
        <v>100</v>
      </c>
    </row>
    <row r="6" spans="1:6" ht="13.5" thickBot="1">
      <c r="A6" s="224" t="s">
        <v>176</v>
      </c>
      <c r="B6" s="225"/>
      <c r="C6" s="226">
        <v>0.5</v>
      </c>
      <c r="D6" s="227">
        <v>2555.56</v>
      </c>
      <c r="E6" s="228">
        <v>23000</v>
      </c>
      <c r="F6" s="229">
        <v>28111.14</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4"/>
  <sheetViews>
    <sheetView workbookViewId="0">
      <selection activeCell="A5" sqref="A5"/>
    </sheetView>
  </sheetViews>
  <sheetFormatPr defaultRowHeight="12.75"/>
  <sheetData>
    <row r="2" spans="1:6">
      <c r="A2" s="236" t="s">
        <v>164</v>
      </c>
      <c r="B2" s="237"/>
      <c r="C2" s="237"/>
      <c r="D2" s="237"/>
      <c r="E2" s="237"/>
      <c r="F2" s="235"/>
    </row>
    <row r="3" spans="1:6">
      <c r="A3" s="236" t="s">
        <v>163</v>
      </c>
      <c r="B3" s="237"/>
      <c r="C3" s="237"/>
      <c r="D3" s="238"/>
      <c r="E3" s="238"/>
      <c r="F3" s="235"/>
    </row>
    <row r="4" spans="1:6">
      <c r="A4" s="236" t="s">
        <v>177</v>
      </c>
      <c r="B4" s="237"/>
      <c r="C4" s="237"/>
      <c r="D4" s="238"/>
      <c r="E4" s="237"/>
      <c r="F4" s="2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GGIS Grad AY25</vt:lpstr>
      <vt:lpstr>Cost of GGIS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2025-05-21T14:41:39Z</dcterms:modified>
</cp:coreProperties>
</file>