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R:\Basic Proposal Package\"/>
    </mc:Choice>
  </mc:AlternateContent>
  <xr:revisionPtr revIDLastSave="0" documentId="13_ncr:1_{C850B9DC-C400-4AB3-B217-68AF203EC3F3}" xr6:coauthVersionLast="47" xr6:coauthVersionMax="47" xr10:uidLastSave="{00000000-0000-0000-0000-000000000000}"/>
  <bookViews>
    <workbookView xWindow="-120" yWindow="-120" windowWidth="29040" windowHeight="17520" activeTab="2" xr2:uid="{00000000-000D-0000-FFFF-FFFF00000000}"/>
  </bookViews>
  <sheets>
    <sheet name="General - Detailed" sheetId="25" r:id="rId1"/>
    <sheet name="Direct costs Detail" sheetId="27" r:id="rId2"/>
    <sheet name="Grad - Post Doc Rates" sheetId="28" r:id="rId3"/>
    <sheet name="USDA-NIFA 30%" sheetId="13" state="hidden" r:id="rId4"/>
    <sheet name="USDA-APHIS 15%" sheetId="22" state="hidden" r:id="rId5"/>
    <sheet name="Component - Detailed" sheetId="26" state="hidden" r:id="rId6"/>
    <sheet name="Cost Share" sheetId="10" state="hidden" r:id="rId7"/>
    <sheet name="UIC Component" sheetId="12" state="hidden" r:id="rId8"/>
  </sheets>
  <externalReferences>
    <externalReference r:id="rId9"/>
  </externalReferences>
  <definedNames>
    <definedName name="lll">'[1]USDA Cap'!$AE$5</definedName>
    <definedName name="_xlnm.Print_Area" localSheetId="5">'Component - Detailed'!$A$1:$Q$120</definedName>
    <definedName name="_xlnm.Print_Area" localSheetId="6">'Cost Share'!$A$1:$P$95</definedName>
    <definedName name="_xlnm.Print_Area" localSheetId="0">'General - Detailed'!$A$1:$J$132</definedName>
    <definedName name="_xlnm.Print_Area" localSheetId="7">'UIC Component'!$A$1:$P$94</definedName>
    <definedName name="_xlnm.Print_Area" localSheetId="4">'USDA-APHIS 15%'!$A$1:$J$93</definedName>
    <definedName name="_xlnm.Print_Area" localSheetId="3">'USDA-NIFA 30%'!$A$1:$J$91</definedName>
    <definedName name="_xlnm.Print_Titles" localSheetId="5">'Component - Detailed'!$7:$8</definedName>
    <definedName name="_xlnm.Print_Titles" localSheetId="6">'Cost Share'!$11:$12</definedName>
    <definedName name="_xlnm.Print_Titles" localSheetId="0">'General - Detailed'!$7:$7</definedName>
    <definedName name="_xlnm.Print_Titles" localSheetId="7">'UIC Component'!$11:$12</definedName>
    <definedName name="_xlnm.Print_Titles" localSheetId="4">'USDA-APHIS 15%'!$11:$11</definedName>
    <definedName name="_xlnm.Print_Titles" localSheetId="3">'USDA-NIFA 30%'!$11:$11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9" i="25" l="1"/>
  <c r="E58" i="25"/>
  <c r="E94" i="25" l="1"/>
  <c r="E88" i="25"/>
  <c r="E85" i="25"/>
  <c r="D11" i="25"/>
  <c r="E72" i="25"/>
  <c r="E71" i="25"/>
  <c r="L19" i="28"/>
  <c r="K19" i="28"/>
  <c r="J19" i="28"/>
  <c r="I19" i="28"/>
  <c r="H19" i="28"/>
  <c r="G19" i="28"/>
  <c r="D89" i="27"/>
  <c r="D88" i="27"/>
  <c r="D87" i="27"/>
  <c r="D90" i="27" s="1"/>
  <c r="D83" i="27"/>
  <c r="D82" i="27"/>
  <c r="D81" i="27"/>
  <c r="D77" i="27"/>
  <c r="D76" i="27"/>
  <c r="D75" i="27"/>
  <c r="D71" i="27"/>
  <c r="D70" i="27"/>
  <c r="D69" i="27"/>
  <c r="D68" i="27"/>
  <c r="D67" i="27"/>
  <c r="D66" i="27"/>
  <c r="D65" i="27"/>
  <c r="D58" i="27"/>
  <c r="D57" i="27"/>
  <c r="D56" i="27"/>
  <c r="D55" i="27"/>
  <c r="D54" i="27"/>
  <c r="D53" i="27"/>
  <c r="D52" i="27"/>
  <c r="D59" i="27" s="1"/>
  <c r="D42" i="27"/>
  <c r="D40" i="27"/>
  <c r="D39" i="27"/>
  <c r="D38" i="27"/>
  <c r="D37" i="27"/>
  <c r="D36" i="27"/>
  <c r="D31" i="27"/>
  <c r="D29" i="27"/>
  <c r="D28" i="27"/>
  <c r="D27" i="27"/>
  <c r="D26" i="27"/>
  <c r="D25" i="27"/>
  <c r="D20" i="27"/>
  <c r="D18" i="27"/>
  <c r="D17" i="27"/>
  <c r="D16" i="27"/>
  <c r="D15" i="27"/>
  <c r="D14" i="27"/>
  <c r="D7" i="27"/>
  <c r="D6" i="27"/>
  <c r="D5" i="27"/>
  <c r="D8" i="27" s="1"/>
  <c r="D42" i="25"/>
  <c r="B42" i="25"/>
  <c r="C41" i="25"/>
  <c r="B41" i="25"/>
  <c r="K40" i="25"/>
  <c r="J40" i="25"/>
  <c r="F40" i="25"/>
  <c r="G40" i="25" s="1"/>
  <c r="H40" i="25" s="1"/>
  <c r="I40" i="25" s="1"/>
  <c r="D40" i="25"/>
  <c r="D39" i="25"/>
  <c r="B39" i="25"/>
  <c r="C38" i="25"/>
  <c r="B38" i="25"/>
  <c r="K37" i="25"/>
  <c r="J37" i="25"/>
  <c r="F37" i="25"/>
  <c r="G37" i="25" s="1"/>
  <c r="H37" i="25" s="1"/>
  <c r="I37" i="25" s="1"/>
  <c r="D37" i="25"/>
  <c r="D36" i="25"/>
  <c r="B36" i="25"/>
  <c r="C35" i="25"/>
  <c r="B35" i="25"/>
  <c r="K34" i="25"/>
  <c r="J34" i="25"/>
  <c r="F34" i="25"/>
  <c r="G34" i="25" s="1"/>
  <c r="H34" i="25" s="1"/>
  <c r="I34" i="25" s="1"/>
  <c r="D34" i="25"/>
  <c r="D21" i="25"/>
  <c r="D20" i="25"/>
  <c r="E20" i="25" s="1"/>
  <c r="E21" i="25" s="1"/>
  <c r="J19" i="25"/>
  <c r="F19" i="25"/>
  <c r="G19" i="25" s="1"/>
  <c r="D18" i="25"/>
  <c r="D17" i="25"/>
  <c r="J16" i="25"/>
  <c r="F16" i="25"/>
  <c r="G16" i="25" s="1"/>
  <c r="H16" i="25" s="1"/>
  <c r="I16" i="25" s="1"/>
  <c r="I42" i="26"/>
  <c r="J42" i="26"/>
  <c r="K42" i="26"/>
  <c r="L42" i="26"/>
  <c r="M42" i="26"/>
  <c r="N42" i="26"/>
  <c r="I49" i="26"/>
  <c r="J49" i="26"/>
  <c r="K49" i="26"/>
  <c r="L49" i="26"/>
  <c r="M49" i="26"/>
  <c r="N49" i="26"/>
  <c r="N54" i="26" s="1"/>
  <c r="I50" i="26"/>
  <c r="J50" i="26"/>
  <c r="K50" i="26"/>
  <c r="L50" i="26"/>
  <c r="L54" i="26" s="1"/>
  <c r="M50" i="26"/>
  <c r="M54" i="26" s="1"/>
  <c r="N50" i="26"/>
  <c r="I51" i="26"/>
  <c r="I54" i="26" s="1"/>
  <c r="J51" i="26"/>
  <c r="K51" i="26"/>
  <c r="L51" i="26"/>
  <c r="M51" i="26"/>
  <c r="N51" i="26"/>
  <c r="I52" i="26"/>
  <c r="J52" i="26"/>
  <c r="K52" i="26"/>
  <c r="L52" i="26"/>
  <c r="M52" i="26"/>
  <c r="N52" i="26"/>
  <c r="J54" i="26"/>
  <c r="I63" i="26"/>
  <c r="K63" i="26"/>
  <c r="M63" i="26"/>
  <c r="I64" i="26"/>
  <c r="K64" i="26"/>
  <c r="M64" i="26"/>
  <c r="I66" i="26"/>
  <c r="K66" i="26"/>
  <c r="M66" i="26"/>
  <c r="I67" i="26"/>
  <c r="K67" i="26"/>
  <c r="M67" i="26"/>
  <c r="J70" i="26"/>
  <c r="J73" i="26" s="1"/>
  <c r="L70" i="26"/>
  <c r="L73" i="26" s="1"/>
  <c r="N70" i="26"/>
  <c r="J71" i="26"/>
  <c r="L71" i="26"/>
  <c r="N71" i="26"/>
  <c r="N118" i="26" s="1"/>
  <c r="N119" i="26" s="1"/>
  <c r="I98" i="26"/>
  <c r="J98" i="26"/>
  <c r="K98" i="26"/>
  <c r="L98" i="26"/>
  <c r="M98" i="26"/>
  <c r="N98" i="26"/>
  <c r="I99" i="26"/>
  <c r="J99" i="26"/>
  <c r="K99" i="26"/>
  <c r="L99" i="26"/>
  <c r="M99" i="26"/>
  <c r="N99" i="26"/>
  <c r="I106" i="26"/>
  <c r="J106" i="26"/>
  <c r="K106" i="26"/>
  <c r="L106" i="26"/>
  <c r="M106" i="26"/>
  <c r="N106" i="26"/>
  <c r="I107" i="26"/>
  <c r="J107" i="26"/>
  <c r="K107" i="26"/>
  <c r="L107" i="26"/>
  <c r="M107" i="26"/>
  <c r="N107" i="26"/>
  <c r="I110" i="26"/>
  <c r="J110" i="26"/>
  <c r="K110" i="26"/>
  <c r="L110" i="26"/>
  <c r="M110" i="26"/>
  <c r="N110" i="26"/>
  <c r="I111" i="26"/>
  <c r="J111" i="26"/>
  <c r="K111" i="26"/>
  <c r="L111" i="26"/>
  <c r="M111" i="26"/>
  <c r="N111" i="26"/>
  <c r="I114" i="26"/>
  <c r="J114" i="26"/>
  <c r="K114" i="26"/>
  <c r="L114" i="26"/>
  <c r="M114" i="26"/>
  <c r="N114" i="26"/>
  <c r="I115" i="26"/>
  <c r="J115" i="26"/>
  <c r="K115" i="26"/>
  <c r="L115" i="26"/>
  <c r="M115" i="26"/>
  <c r="N115" i="26"/>
  <c r="J3" i="12"/>
  <c r="F93" i="25" a="1"/>
  <c r="F90" i="25" a="1"/>
  <c r="F94" i="25" a="1"/>
  <c r="F87" i="25" a="1"/>
  <c r="F88" i="25" a="1"/>
  <c r="F91" i="25" a="1"/>
  <c r="F89" i="25" a="1"/>
  <c r="F92" i="25" a="1"/>
  <c r="F94" i="25" l="1"/>
  <c r="F93" i="25"/>
  <c r="F91" i="25"/>
  <c r="F92" i="25"/>
  <c r="F90" i="25"/>
  <c r="F89" i="25"/>
  <c r="F88" i="25"/>
  <c r="D41" i="25"/>
  <c r="F41" i="25" s="1"/>
  <c r="F42" i="25" s="1"/>
  <c r="F87" i="25"/>
  <c r="D19" i="27"/>
  <c r="D21" i="27" s="1"/>
  <c r="D84" i="27"/>
  <c r="D78" i="27"/>
  <c r="D41" i="27"/>
  <c r="D43" i="27" s="1"/>
  <c r="D72" i="27"/>
  <c r="D30" i="27"/>
  <c r="D32" i="27" s="1"/>
  <c r="D46" i="27" s="1"/>
  <c r="D45" i="27"/>
  <c r="D38" i="25"/>
  <c r="F38" i="25" s="1"/>
  <c r="F39" i="25" s="1"/>
  <c r="D35" i="25"/>
  <c r="G35" i="25" s="1"/>
  <c r="G36" i="25" s="1"/>
  <c r="H19" i="25"/>
  <c r="I19" i="25" s="1"/>
  <c r="I20" i="25" s="1"/>
  <c r="I21" i="25" s="1"/>
  <c r="G20" i="25"/>
  <c r="G21" i="25" s="1"/>
  <c r="F20" i="25"/>
  <c r="I17" i="25"/>
  <c r="I18" i="25" s="1"/>
  <c r="F17" i="25"/>
  <c r="F18" i="25" s="1"/>
  <c r="E17" i="25"/>
  <c r="H17" i="25"/>
  <c r="H18" i="25" s="1"/>
  <c r="G17" i="25"/>
  <c r="G18" i="25" s="1"/>
  <c r="J108" i="26"/>
  <c r="I112" i="26"/>
  <c r="I100" i="26"/>
  <c r="M116" i="26"/>
  <c r="L116" i="26"/>
  <c r="L112" i="26"/>
  <c r="L108" i="26"/>
  <c r="K116" i="26"/>
  <c r="K112" i="26"/>
  <c r="K108" i="26"/>
  <c r="K100" i="26"/>
  <c r="J116" i="26"/>
  <c r="J100" i="26"/>
  <c r="I116" i="26"/>
  <c r="N116" i="26"/>
  <c r="J112" i="26"/>
  <c r="N100" i="26"/>
  <c r="M100" i="26"/>
  <c r="N112" i="26"/>
  <c r="L100" i="26"/>
  <c r="M112" i="26"/>
  <c r="I108" i="26"/>
  <c r="N108" i="26"/>
  <c r="M108" i="26"/>
  <c r="L118" i="26"/>
  <c r="L119" i="26" s="1"/>
  <c r="N73" i="26"/>
  <c r="J118" i="26"/>
  <c r="J119" i="26" s="1"/>
  <c r="K54" i="26"/>
  <c r="J3" i="10"/>
  <c r="AG1" i="26"/>
  <c r="J3" i="22"/>
  <c r="J3" i="13"/>
  <c r="Z1" i="25"/>
  <c r="G91" i="25" a="1"/>
  <c r="G90" i="25" a="1"/>
  <c r="G88" i="25" a="1"/>
  <c r="G94" i="25" a="1"/>
  <c r="G92" i="25" a="1"/>
  <c r="J17" i="25"/>
  <c r="G87" i="25" a="1"/>
  <c r="G89" i="25" a="1"/>
  <c r="G93" i="25" a="1"/>
  <c r="G94" i="25" l="1"/>
  <c r="G93" i="25"/>
  <c r="E41" i="25"/>
  <c r="E42" i="25" s="1"/>
  <c r="G41" i="25"/>
  <c r="G42" i="25" s="1"/>
  <c r="I41" i="25"/>
  <c r="I42" i="25" s="1"/>
  <c r="H41" i="25"/>
  <c r="H42" i="25" s="1"/>
  <c r="G91" i="25"/>
  <c r="G92" i="25"/>
  <c r="I38" i="25"/>
  <c r="I39" i="25" s="1"/>
  <c r="G90" i="25"/>
  <c r="H38" i="25"/>
  <c r="H39" i="25" s="1"/>
  <c r="G89" i="25"/>
  <c r="G38" i="25"/>
  <c r="G39" i="25" s="1"/>
  <c r="G88" i="25"/>
  <c r="E38" i="25"/>
  <c r="E39" i="25" s="1"/>
  <c r="G87" i="25"/>
  <c r="I35" i="25"/>
  <c r="I36" i="25" s="1"/>
  <c r="H35" i="25"/>
  <c r="H36" i="25" s="1"/>
  <c r="E35" i="25"/>
  <c r="E36" i="25" s="1"/>
  <c r="F35" i="25"/>
  <c r="F36" i="25" s="1"/>
  <c r="H20" i="25"/>
  <c r="F21" i="25"/>
  <c r="E18" i="25"/>
  <c r="F38" i="12"/>
  <c r="H35" i="12"/>
  <c r="F36" i="12"/>
  <c r="H32" i="12"/>
  <c r="H36" i="12"/>
  <c r="F32" i="12"/>
  <c r="F15" i="12"/>
  <c r="Q4" i="25"/>
  <c r="O4" i="25"/>
  <c r="Q3" i="25"/>
  <c r="O3" i="25"/>
  <c r="G67" i="26"/>
  <c r="E67" i="26"/>
  <c r="G66" i="26"/>
  <c r="E66" i="26"/>
  <c r="F64" i="26"/>
  <c r="F63" i="26"/>
  <c r="G64" i="26"/>
  <c r="E64" i="26"/>
  <c r="G63" i="26"/>
  <c r="E63" i="26"/>
  <c r="E81" i="25"/>
  <c r="E80" i="25"/>
  <c r="E78" i="25"/>
  <c r="F78" i="25" s="1"/>
  <c r="E77" i="25"/>
  <c r="F77" i="25" s="1"/>
  <c r="H88" i="25" a="1"/>
  <c r="H90" i="25" a="1"/>
  <c r="J38" i="25"/>
  <c r="J35" i="25"/>
  <c r="J18" i="25"/>
  <c r="J39" i="25"/>
  <c r="H94" i="25" a="1"/>
  <c r="H89" i="25" a="1"/>
  <c r="H87" i="25" a="1"/>
  <c r="J42" i="25"/>
  <c r="J36" i="25"/>
  <c r="J20" i="25"/>
  <c r="H93" i="25" a="1"/>
  <c r="J41" i="25"/>
  <c r="H91" i="25" a="1"/>
  <c r="H92" i="25" a="1"/>
  <c r="H94" i="25" l="1"/>
  <c r="H93" i="25"/>
  <c r="H91" i="25"/>
  <c r="H92" i="25"/>
  <c r="H90" i="25"/>
  <c r="H89" i="25"/>
  <c r="H88" i="25"/>
  <c r="H87" i="25"/>
  <c r="H21" i="25"/>
  <c r="F81" i="25"/>
  <c r="G81" i="25" s="1"/>
  <c r="H81" i="25" s="1"/>
  <c r="F80" i="25"/>
  <c r="G77" i="25"/>
  <c r="H77" i="25" s="1"/>
  <c r="I77" i="25" s="1"/>
  <c r="G78" i="25"/>
  <c r="G60" i="22"/>
  <c r="H60" i="22" s="1"/>
  <c r="I60" i="22" s="1"/>
  <c r="F60" i="22"/>
  <c r="F60" i="13"/>
  <c r="G60" i="13" s="1"/>
  <c r="H60" i="13" s="1"/>
  <c r="I60" i="13" s="1"/>
  <c r="H78" i="26"/>
  <c r="J78" i="26" s="1"/>
  <c r="L78" i="26" s="1"/>
  <c r="N78" i="26" s="1"/>
  <c r="G78" i="26"/>
  <c r="I78" i="26" s="1"/>
  <c r="K78" i="26" s="1"/>
  <c r="M78" i="26" s="1"/>
  <c r="B28" i="26"/>
  <c r="D27" i="26" s="1"/>
  <c r="B27" i="26"/>
  <c r="Q26" i="26"/>
  <c r="P26" i="26"/>
  <c r="O26" i="26"/>
  <c r="H26" i="26"/>
  <c r="J26" i="26" s="1"/>
  <c r="L26" i="26" s="1"/>
  <c r="N26" i="26" s="1"/>
  <c r="G26" i="26"/>
  <c r="I26" i="26" s="1"/>
  <c r="K26" i="26" s="1"/>
  <c r="M26" i="26" s="1"/>
  <c r="D26" i="26"/>
  <c r="D15" i="26"/>
  <c r="Q14" i="26"/>
  <c r="P14" i="26"/>
  <c r="O14" i="26"/>
  <c r="H14" i="26"/>
  <c r="J14" i="26" s="1"/>
  <c r="L14" i="26" s="1"/>
  <c r="N14" i="26" s="1"/>
  <c r="G14" i="26"/>
  <c r="I14" i="26" s="1"/>
  <c r="K14" i="26" s="1"/>
  <c r="M14" i="26" s="1"/>
  <c r="P48" i="26"/>
  <c r="O48" i="26"/>
  <c r="D28" i="25"/>
  <c r="D31" i="25"/>
  <c r="K83" i="25"/>
  <c r="K76" i="25"/>
  <c r="K52" i="25"/>
  <c r="K27" i="25"/>
  <c r="K9" i="25"/>
  <c r="K29" i="25"/>
  <c r="K28" i="25" s="1"/>
  <c r="C29" i="25"/>
  <c r="C32" i="25"/>
  <c r="J2" i="12"/>
  <c r="D33" i="25"/>
  <c r="B33" i="25"/>
  <c r="B32" i="25"/>
  <c r="F31" i="25"/>
  <c r="G31" i="25" s="1"/>
  <c r="H31" i="25" s="1"/>
  <c r="I31" i="25" s="1"/>
  <c r="J31" i="25"/>
  <c r="I94" i="25" a="1"/>
  <c r="I91" i="25" a="1"/>
  <c r="I87" i="25" a="1"/>
  <c r="I89" i="25" a="1"/>
  <c r="I93" i="25" a="1"/>
  <c r="I92" i="25" a="1"/>
  <c r="F86" i="25" a="1"/>
  <c r="J21" i="25"/>
  <c r="I90" i="25" a="1"/>
  <c r="I88" i="25" a="1"/>
  <c r="I94" i="25" l="1"/>
  <c r="I93" i="25"/>
  <c r="I91" i="25"/>
  <c r="I92" i="25"/>
  <c r="E121" i="25"/>
  <c r="I90" i="25"/>
  <c r="I89" i="25"/>
  <c r="I88" i="25"/>
  <c r="I87" i="25"/>
  <c r="L27" i="26"/>
  <c r="I27" i="26"/>
  <c r="J27" i="26"/>
  <c r="K27" i="26"/>
  <c r="M27" i="26"/>
  <c r="N27" i="26"/>
  <c r="K15" i="26"/>
  <c r="L15" i="26"/>
  <c r="M15" i="26"/>
  <c r="I15" i="26"/>
  <c r="J15" i="26"/>
  <c r="N15" i="26"/>
  <c r="G15" i="26"/>
  <c r="I81" i="25"/>
  <c r="G80" i="25"/>
  <c r="H80" i="25" s="1"/>
  <c r="I80" i="25" s="1"/>
  <c r="H78" i="25"/>
  <c r="I78" i="25" s="1"/>
  <c r="I121" i="25"/>
  <c r="H121" i="25"/>
  <c r="G121" i="25"/>
  <c r="F121" i="25"/>
  <c r="Q78" i="26"/>
  <c r="H27" i="26"/>
  <c r="G27" i="26"/>
  <c r="F27" i="26"/>
  <c r="E27" i="26"/>
  <c r="E15" i="26"/>
  <c r="F15" i="26"/>
  <c r="H15" i="26"/>
  <c r="D32" i="25"/>
  <c r="E32" i="25" s="1"/>
  <c r="K31" i="25"/>
  <c r="F86" i="25"/>
  <c r="J93" i="25"/>
  <c r="J91" i="25"/>
  <c r="J87" i="25"/>
  <c r="G86" i="25" a="1"/>
  <c r="J94" i="25"/>
  <c r="J92" i="25"/>
  <c r="J89" i="25"/>
  <c r="J88" i="25"/>
  <c r="J90" i="25"/>
  <c r="N102" i="26" l="1"/>
  <c r="M102" i="26"/>
  <c r="K102" i="26"/>
  <c r="J102" i="26"/>
  <c r="I102" i="26"/>
  <c r="L102" i="26"/>
  <c r="Q27" i="26"/>
  <c r="Q15" i="26"/>
  <c r="H32" i="25"/>
  <c r="H33" i="25" s="1"/>
  <c r="I32" i="25"/>
  <c r="I33" i="25" s="1"/>
  <c r="G32" i="25"/>
  <c r="G33" i="25" s="1"/>
  <c r="F32" i="25"/>
  <c r="F33" i="25" s="1"/>
  <c r="G86" i="25"/>
  <c r="E33" i="25"/>
  <c r="D15" i="25"/>
  <c r="D14" i="25"/>
  <c r="E14" i="25" s="1"/>
  <c r="J13" i="25"/>
  <c r="F13" i="25"/>
  <c r="G13" i="25" s="1"/>
  <c r="AB77" i="26"/>
  <c r="AB65" i="26"/>
  <c r="AB38" i="26"/>
  <c r="AB22" i="26"/>
  <c r="AB10" i="26"/>
  <c r="H107" i="26"/>
  <c r="G107" i="26"/>
  <c r="H106" i="26"/>
  <c r="G106" i="26"/>
  <c r="F107" i="26"/>
  <c r="F106" i="26"/>
  <c r="E107" i="26"/>
  <c r="E106" i="26"/>
  <c r="H102" i="26"/>
  <c r="G102" i="26"/>
  <c r="F102" i="26"/>
  <c r="E102" i="26"/>
  <c r="F10" i="25"/>
  <c r="J54" i="25"/>
  <c r="J32" i="25"/>
  <c r="J33" i="25"/>
  <c r="J62" i="25"/>
  <c r="J76" i="25"/>
  <c r="J79" i="25"/>
  <c r="H86" i="25" a="1"/>
  <c r="J53" i="25"/>
  <c r="J81" i="25"/>
  <c r="J80" i="25"/>
  <c r="E15" i="25" l="1"/>
  <c r="H86" i="25"/>
  <c r="F14" i="25"/>
  <c r="F15" i="25" s="1"/>
  <c r="H13" i="25"/>
  <c r="I13" i="25" s="1"/>
  <c r="I14" i="25" s="1"/>
  <c r="I15" i="25" s="1"/>
  <c r="G14" i="25"/>
  <c r="H115" i="26"/>
  <c r="G115" i="26"/>
  <c r="H114" i="26"/>
  <c r="G114" i="26"/>
  <c r="H111" i="26"/>
  <c r="G111" i="26"/>
  <c r="H110" i="26"/>
  <c r="G110" i="26"/>
  <c r="H99" i="26"/>
  <c r="G99" i="26"/>
  <c r="H98" i="26"/>
  <c r="G98" i="26"/>
  <c r="F115" i="26"/>
  <c r="F114" i="26"/>
  <c r="E115" i="26"/>
  <c r="E114" i="26"/>
  <c r="F111" i="26"/>
  <c r="F110" i="26"/>
  <c r="E111" i="26"/>
  <c r="E110" i="26"/>
  <c r="F99" i="26"/>
  <c r="F98" i="26"/>
  <c r="E99" i="26"/>
  <c r="E98" i="26"/>
  <c r="F129" i="25"/>
  <c r="G129" i="25"/>
  <c r="H129" i="25"/>
  <c r="I129" i="25"/>
  <c r="F130" i="25"/>
  <c r="G130" i="25"/>
  <c r="H130" i="25"/>
  <c r="I130" i="25"/>
  <c r="F125" i="25"/>
  <c r="G125" i="25"/>
  <c r="H125" i="25"/>
  <c r="I125" i="25"/>
  <c r="F126" i="25"/>
  <c r="G126" i="25"/>
  <c r="H126" i="25"/>
  <c r="I126" i="25"/>
  <c r="F113" i="25"/>
  <c r="G113" i="25"/>
  <c r="H113" i="25"/>
  <c r="I113" i="25"/>
  <c r="F114" i="25"/>
  <c r="G114" i="25"/>
  <c r="H114" i="25"/>
  <c r="I114" i="25"/>
  <c r="E130" i="25"/>
  <c r="E129" i="25"/>
  <c r="E126" i="25"/>
  <c r="E125" i="25"/>
  <c r="E114" i="25"/>
  <c r="E113" i="25"/>
  <c r="D29" i="25"/>
  <c r="E29" i="25" s="1"/>
  <c r="D23" i="26"/>
  <c r="D12" i="26"/>
  <c r="F73" i="25" a="1"/>
  <c r="F75" i="25" a="1"/>
  <c r="F72" i="25" a="1"/>
  <c r="F59" i="25" a="1"/>
  <c r="I86" i="25" a="1"/>
  <c r="F74" i="25" a="1"/>
  <c r="F85" i="25" a="1"/>
  <c r="F71" i="25" a="1"/>
  <c r="F58" i="25" a="1"/>
  <c r="E44" i="25" l="1"/>
  <c r="I86" i="25"/>
  <c r="G15" i="25"/>
  <c r="H14" i="25"/>
  <c r="F11" i="25"/>
  <c r="F23" i="25" s="1"/>
  <c r="E11" i="25"/>
  <c r="E23" i="25" s="1"/>
  <c r="F59" i="25"/>
  <c r="F58" i="25"/>
  <c r="F85" i="25"/>
  <c r="F75" i="25"/>
  <c r="F74" i="25"/>
  <c r="F73" i="25"/>
  <c r="F72" i="25"/>
  <c r="F71" i="25"/>
  <c r="E117" i="25"/>
  <c r="F12" i="26"/>
  <c r="F18" i="26" s="1"/>
  <c r="E12" i="26"/>
  <c r="E18" i="26" s="1"/>
  <c r="B25" i="26"/>
  <c r="D24" i="26" s="1"/>
  <c r="J14" i="25"/>
  <c r="G72" i="25" a="1"/>
  <c r="G73" i="25" a="1"/>
  <c r="G85" i="25" a="1"/>
  <c r="G71" i="25" a="1"/>
  <c r="G74" i="25" a="1"/>
  <c r="G59" i="25" a="1"/>
  <c r="J86" i="25"/>
  <c r="G58" i="25" a="1"/>
  <c r="G75" i="25" a="1"/>
  <c r="F24" i="26" l="1"/>
  <c r="E24" i="26"/>
  <c r="H15" i="25"/>
  <c r="G59" i="25"/>
  <c r="G58" i="25"/>
  <c r="G85" i="25"/>
  <c r="G75" i="25"/>
  <c r="G74" i="25"/>
  <c r="G73" i="25"/>
  <c r="G72" i="25"/>
  <c r="G71" i="25"/>
  <c r="E8" i="26"/>
  <c r="F8" i="26"/>
  <c r="J77" i="25"/>
  <c r="J15" i="25"/>
  <c r="H71" i="25" a="1"/>
  <c r="H58" i="25" a="1"/>
  <c r="H59" i="25" a="1"/>
  <c r="H74" i="25" a="1"/>
  <c r="H72" i="25" a="1"/>
  <c r="H73" i="25" a="1"/>
  <c r="H85" i="25" a="1"/>
  <c r="H75" i="25" a="1"/>
  <c r="J78" i="25"/>
  <c r="K8" i="26" l="1"/>
  <c r="K92" i="26"/>
  <c r="M8" i="26"/>
  <c r="M92" i="26"/>
  <c r="I8" i="26"/>
  <c r="I92" i="26"/>
  <c r="L8" i="26"/>
  <c r="L67" i="26"/>
  <c r="L92" i="26"/>
  <c r="L66" i="26"/>
  <c r="J8" i="26"/>
  <c r="N67" i="26"/>
  <c r="J92" i="26"/>
  <c r="N8" i="26"/>
  <c r="N92" i="26"/>
  <c r="N66" i="26"/>
  <c r="J67" i="26"/>
  <c r="J66" i="26"/>
  <c r="H66" i="26"/>
  <c r="F66" i="26"/>
  <c r="H67" i="26"/>
  <c r="F67" i="26"/>
  <c r="E94" i="26"/>
  <c r="E30" i="26"/>
  <c r="F94" i="26"/>
  <c r="F30" i="26"/>
  <c r="H59" i="25"/>
  <c r="H58" i="25"/>
  <c r="H85" i="25"/>
  <c r="H75" i="25"/>
  <c r="H74" i="25"/>
  <c r="H73" i="25"/>
  <c r="H72" i="25"/>
  <c r="H71" i="25"/>
  <c r="E109" i="25"/>
  <c r="O92" i="26"/>
  <c r="P8" i="26"/>
  <c r="P92" i="26"/>
  <c r="F92" i="26"/>
  <c r="H92" i="26"/>
  <c r="H8" i="26"/>
  <c r="O8" i="26"/>
  <c r="E92" i="26"/>
  <c r="G92" i="26"/>
  <c r="G8" i="26"/>
  <c r="B70" i="26"/>
  <c r="R72" i="26"/>
  <c r="B117" i="26"/>
  <c r="C119" i="26"/>
  <c r="B69" i="26"/>
  <c r="B73" i="26"/>
  <c r="Q65" i="26"/>
  <c r="F3" i="26"/>
  <c r="A3" i="26"/>
  <c r="H71" i="26"/>
  <c r="H70" i="26"/>
  <c r="F71" i="26"/>
  <c r="F118" i="26" s="1"/>
  <c r="B71" i="26"/>
  <c r="AB177" i="26"/>
  <c r="H77" i="26"/>
  <c r="J77" i="26" s="1"/>
  <c r="L77" i="26" s="1"/>
  <c r="N77" i="26" s="1"/>
  <c r="G77" i="26"/>
  <c r="I77" i="26" s="1"/>
  <c r="K77" i="26" s="1"/>
  <c r="M77" i="26" s="1"/>
  <c r="Q62" i="26"/>
  <c r="H61" i="26"/>
  <c r="J61" i="26" s="1"/>
  <c r="L61" i="26" s="1"/>
  <c r="N61" i="26" s="1"/>
  <c r="G61" i="26"/>
  <c r="I61" i="26" s="1"/>
  <c r="K61" i="26" s="1"/>
  <c r="M61" i="26" s="1"/>
  <c r="H60" i="26"/>
  <c r="J60" i="26" s="1"/>
  <c r="L60" i="26" s="1"/>
  <c r="N60" i="26" s="1"/>
  <c r="G60" i="26"/>
  <c r="I60" i="26" s="1"/>
  <c r="K60" i="26" s="1"/>
  <c r="M60" i="26" s="1"/>
  <c r="H59" i="26"/>
  <c r="J59" i="26" s="1"/>
  <c r="L59" i="26" s="1"/>
  <c r="N59" i="26" s="1"/>
  <c r="G59" i="26"/>
  <c r="I59" i="26" s="1"/>
  <c r="K59" i="26" s="1"/>
  <c r="M59" i="26" s="1"/>
  <c r="H58" i="26"/>
  <c r="J58" i="26" s="1"/>
  <c r="L58" i="26" s="1"/>
  <c r="N58" i="26" s="1"/>
  <c r="G58" i="26"/>
  <c r="I58" i="26" s="1"/>
  <c r="K58" i="26" s="1"/>
  <c r="M58" i="26" s="1"/>
  <c r="H57" i="26"/>
  <c r="J57" i="26" s="1"/>
  <c r="G57" i="26"/>
  <c r="I57" i="26" s="1"/>
  <c r="H52" i="26"/>
  <c r="G52" i="26"/>
  <c r="F52" i="26"/>
  <c r="E52" i="26"/>
  <c r="H51" i="26"/>
  <c r="G51" i="26"/>
  <c r="F51" i="26"/>
  <c r="E51" i="26"/>
  <c r="H50" i="26"/>
  <c r="G50" i="26"/>
  <c r="F50" i="26"/>
  <c r="E50" i="26"/>
  <c r="H49" i="26"/>
  <c r="G49" i="26"/>
  <c r="F49" i="26"/>
  <c r="E49" i="26"/>
  <c r="Q48" i="26"/>
  <c r="H45" i="26"/>
  <c r="J45" i="26" s="1"/>
  <c r="L45" i="26" s="1"/>
  <c r="N45" i="26" s="1"/>
  <c r="G45" i="26"/>
  <c r="I45" i="26" s="1"/>
  <c r="K45" i="26" s="1"/>
  <c r="M45" i="26" s="1"/>
  <c r="H44" i="26"/>
  <c r="J44" i="26" s="1"/>
  <c r="L44" i="26" s="1"/>
  <c r="N44" i="26" s="1"/>
  <c r="G44" i="26"/>
  <c r="I44" i="26" s="1"/>
  <c r="K44" i="26" s="1"/>
  <c r="M44" i="26" s="1"/>
  <c r="H42" i="26"/>
  <c r="G42" i="26"/>
  <c r="F42" i="26"/>
  <c r="E42" i="26"/>
  <c r="Q40" i="26"/>
  <c r="Q39" i="26"/>
  <c r="B24" i="26"/>
  <c r="H23" i="26"/>
  <c r="G23" i="26"/>
  <c r="H11" i="26"/>
  <c r="J11" i="26" s="1"/>
  <c r="G11" i="26"/>
  <c r="R10" i="26"/>
  <c r="B88" i="26"/>
  <c r="F4" i="26"/>
  <c r="T2" i="26"/>
  <c r="T1" i="26"/>
  <c r="C3" i="26" s="1"/>
  <c r="I59" i="25" a="1"/>
  <c r="I58" i="25" a="1"/>
  <c r="I75" i="25" a="1"/>
  <c r="I73" i="25" a="1"/>
  <c r="I85" i="25" a="1"/>
  <c r="I72" i="25" a="1"/>
  <c r="I74" i="25" a="1"/>
  <c r="I71" i="25" a="1"/>
  <c r="I76" i="26" l="1"/>
  <c r="I80" i="26" s="1"/>
  <c r="N76" i="26"/>
  <c r="N80" i="26" s="1"/>
  <c r="K97" i="26"/>
  <c r="K101" i="26"/>
  <c r="K105" i="26"/>
  <c r="K109" i="26"/>
  <c r="K113" i="26"/>
  <c r="L97" i="26"/>
  <c r="L101" i="26"/>
  <c r="L105" i="26"/>
  <c r="L109" i="26"/>
  <c r="L113" i="26"/>
  <c r="M97" i="26"/>
  <c r="L76" i="26"/>
  <c r="L80" i="26" s="1"/>
  <c r="N113" i="26"/>
  <c r="N109" i="26"/>
  <c r="M105" i="26"/>
  <c r="M76" i="26"/>
  <c r="M80" i="26" s="1"/>
  <c r="J109" i="26"/>
  <c r="I105" i="26"/>
  <c r="M109" i="26"/>
  <c r="J105" i="26"/>
  <c r="J101" i="26"/>
  <c r="M101" i="26"/>
  <c r="I97" i="26"/>
  <c r="N101" i="26"/>
  <c r="J76" i="26"/>
  <c r="J80" i="26" s="1"/>
  <c r="J97" i="26"/>
  <c r="I113" i="26"/>
  <c r="K76" i="26"/>
  <c r="K80" i="26" s="1"/>
  <c r="N97" i="26"/>
  <c r="J113" i="26"/>
  <c r="I109" i="26"/>
  <c r="M113" i="26"/>
  <c r="N105" i="26"/>
  <c r="I101" i="26"/>
  <c r="J64" i="26"/>
  <c r="J63" i="26"/>
  <c r="L64" i="26"/>
  <c r="L63" i="26"/>
  <c r="G24" i="26"/>
  <c r="I23" i="26"/>
  <c r="L57" i="26"/>
  <c r="G12" i="26"/>
  <c r="G18" i="26" s="1"/>
  <c r="I11" i="26"/>
  <c r="H24" i="26"/>
  <c r="H94" i="26" s="1"/>
  <c r="J23" i="26"/>
  <c r="K57" i="26"/>
  <c r="L11" i="26"/>
  <c r="J12" i="26"/>
  <c r="N64" i="26"/>
  <c r="N63" i="26"/>
  <c r="H64" i="26"/>
  <c r="H63" i="26"/>
  <c r="O78" i="26"/>
  <c r="P78" i="26"/>
  <c r="O27" i="26"/>
  <c r="P27" i="26"/>
  <c r="O15" i="26"/>
  <c r="P15" i="26"/>
  <c r="G94" i="26"/>
  <c r="G30" i="26"/>
  <c r="F101" i="26"/>
  <c r="G101" i="26"/>
  <c r="E101" i="26"/>
  <c r="F105" i="26"/>
  <c r="E105" i="26"/>
  <c r="H105" i="26"/>
  <c r="G105" i="26"/>
  <c r="H101" i="26"/>
  <c r="H3" i="26"/>
  <c r="I59" i="25"/>
  <c r="I58" i="25"/>
  <c r="I85" i="25"/>
  <c r="I75" i="25"/>
  <c r="I74" i="25"/>
  <c r="I73" i="25"/>
  <c r="I72" i="25"/>
  <c r="I71" i="25"/>
  <c r="H12" i="26"/>
  <c r="H18" i="26" s="1"/>
  <c r="H118" i="26"/>
  <c r="H119" i="26" s="1"/>
  <c r="H73" i="26"/>
  <c r="Q71" i="26"/>
  <c r="F73" i="26"/>
  <c r="P65" i="26"/>
  <c r="O65" i="26"/>
  <c r="P67" i="26"/>
  <c r="P66" i="26"/>
  <c r="G54" i="26"/>
  <c r="O42" i="26"/>
  <c r="P42" i="26"/>
  <c r="F54" i="26"/>
  <c r="F76" i="26"/>
  <c r="H54" i="26"/>
  <c r="H93" i="26"/>
  <c r="Q50" i="26"/>
  <c r="G93" i="26"/>
  <c r="Q42" i="26"/>
  <c r="Q51" i="26"/>
  <c r="P71" i="26"/>
  <c r="Q70" i="26"/>
  <c r="P70" i="26"/>
  <c r="R70" i="26" s="1"/>
  <c r="F119" i="26"/>
  <c r="O50" i="26"/>
  <c r="O44" i="26"/>
  <c r="G100" i="26"/>
  <c r="H108" i="26"/>
  <c r="F116" i="26"/>
  <c r="H112" i="26"/>
  <c r="E100" i="26"/>
  <c r="G108" i="26"/>
  <c r="G116" i="26"/>
  <c r="F108" i="26"/>
  <c r="H116" i="26"/>
  <c r="F112" i="26"/>
  <c r="Q107" i="26"/>
  <c r="Q114" i="26"/>
  <c r="Q99" i="26"/>
  <c r="Q110" i="26"/>
  <c r="H100" i="26"/>
  <c r="Q106" i="26"/>
  <c r="G112" i="26"/>
  <c r="Q111" i="26"/>
  <c r="Q44" i="26"/>
  <c r="Q58" i="26"/>
  <c r="P77" i="26"/>
  <c r="P107" i="26"/>
  <c r="P98" i="26"/>
  <c r="P52" i="26"/>
  <c r="P110" i="26"/>
  <c r="P99" i="26"/>
  <c r="P111" i="26"/>
  <c r="P102" i="26"/>
  <c r="P114" i="26"/>
  <c r="P115" i="26"/>
  <c r="P106" i="26"/>
  <c r="P60" i="26"/>
  <c r="P49" i="26"/>
  <c r="P45" i="26"/>
  <c r="P51" i="26"/>
  <c r="O107" i="26"/>
  <c r="G109" i="26"/>
  <c r="F97" i="26"/>
  <c r="F109" i="26"/>
  <c r="E97" i="26"/>
  <c r="H113" i="26"/>
  <c r="E109" i="26"/>
  <c r="G113" i="26"/>
  <c r="F113" i="26"/>
  <c r="E113" i="26"/>
  <c r="F93" i="26"/>
  <c r="H97" i="26"/>
  <c r="H109" i="26"/>
  <c r="G97" i="26"/>
  <c r="E76" i="26"/>
  <c r="O62" i="26"/>
  <c r="P62" i="26"/>
  <c r="Q52" i="26"/>
  <c r="P59" i="26"/>
  <c r="F100" i="26"/>
  <c r="Q98" i="26"/>
  <c r="P39" i="26"/>
  <c r="P44" i="26"/>
  <c r="P58" i="26"/>
  <c r="Q59" i="26"/>
  <c r="O115" i="26"/>
  <c r="O106" i="26"/>
  <c r="O59" i="26"/>
  <c r="O111" i="26"/>
  <c r="O102" i="26"/>
  <c r="O58" i="26"/>
  <c r="O39" i="26"/>
  <c r="P50" i="26"/>
  <c r="O52" i="26"/>
  <c r="O40" i="26"/>
  <c r="E93" i="26"/>
  <c r="P40" i="26"/>
  <c r="O51" i="26"/>
  <c r="O49" i="26"/>
  <c r="E54" i="26"/>
  <c r="Q49" i="26"/>
  <c r="P61" i="26"/>
  <c r="E108" i="26"/>
  <c r="O114" i="26"/>
  <c r="Q115" i="26"/>
  <c r="E116" i="26"/>
  <c r="O99" i="26"/>
  <c r="Q102" i="26"/>
  <c r="O110" i="26"/>
  <c r="O98" i="26"/>
  <c r="E112" i="26"/>
  <c r="J59" i="25"/>
  <c r="J85" i="25"/>
  <c r="J73" i="25"/>
  <c r="J72" i="25"/>
  <c r="J58" i="25"/>
  <c r="J71" i="25"/>
  <c r="J74" i="25"/>
  <c r="J75" i="25"/>
  <c r="G34" i="26" l="1"/>
  <c r="I82" i="26"/>
  <c r="J82" i="26"/>
  <c r="L23" i="26"/>
  <c r="J93" i="26"/>
  <c r="J24" i="26"/>
  <c r="H30" i="26"/>
  <c r="J18" i="26"/>
  <c r="K11" i="26"/>
  <c r="I12" i="26"/>
  <c r="N11" i="26"/>
  <c r="N12" i="26" s="1"/>
  <c r="L12" i="26"/>
  <c r="I93" i="26"/>
  <c r="K23" i="26"/>
  <c r="I24" i="26"/>
  <c r="N57" i="26"/>
  <c r="N82" i="26" s="1"/>
  <c r="L82" i="26"/>
  <c r="M57" i="26"/>
  <c r="M82" i="26" s="1"/>
  <c r="K82" i="26"/>
  <c r="P57" i="26"/>
  <c r="R28" i="26"/>
  <c r="R27" i="26"/>
  <c r="D28" i="26"/>
  <c r="C4" i="26"/>
  <c r="R16" i="26"/>
  <c r="D16" i="26"/>
  <c r="R15" i="26"/>
  <c r="G76" i="26"/>
  <c r="G80" i="26" s="1"/>
  <c r="H76" i="26"/>
  <c r="H80" i="26" s="1"/>
  <c r="H82" i="26" s="1"/>
  <c r="P119" i="26"/>
  <c r="P118" i="26"/>
  <c r="Q118" i="26"/>
  <c r="P73" i="26"/>
  <c r="R73" i="26" s="1"/>
  <c r="B118" i="26"/>
  <c r="R71" i="26"/>
  <c r="Q73" i="26"/>
  <c r="F80" i="26"/>
  <c r="F82" i="26" s="1"/>
  <c r="E82" i="26"/>
  <c r="O63" i="26"/>
  <c r="O67" i="26"/>
  <c r="Q66" i="26"/>
  <c r="P63" i="26"/>
  <c r="P54" i="26"/>
  <c r="O61" i="26"/>
  <c r="P101" i="26"/>
  <c r="Q119" i="26"/>
  <c r="P112" i="26"/>
  <c r="O100" i="26"/>
  <c r="P108" i="26"/>
  <c r="P116" i="26"/>
  <c r="Q100" i="26"/>
  <c r="B99" i="26" s="1"/>
  <c r="P100" i="26"/>
  <c r="O109" i="26"/>
  <c r="Q109" i="26"/>
  <c r="Q61" i="26"/>
  <c r="Q116" i="26"/>
  <c r="B115" i="26" s="1"/>
  <c r="O116" i="26"/>
  <c r="Q54" i="26"/>
  <c r="O54" i="26"/>
  <c r="P109" i="26"/>
  <c r="O45" i="26"/>
  <c r="O112" i="26"/>
  <c r="Q112" i="26"/>
  <c r="B111" i="26" s="1"/>
  <c r="O60" i="26"/>
  <c r="E80" i="26"/>
  <c r="E34" i="26"/>
  <c r="Q108" i="26"/>
  <c r="B107" i="26" s="1"/>
  <c r="O108" i="26"/>
  <c r="Q60" i="26"/>
  <c r="O77" i="26"/>
  <c r="P105" i="26"/>
  <c r="Q97" i="26"/>
  <c r="O97" i="26"/>
  <c r="P97" i="26"/>
  <c r="Q77" i="26"/>
  <c r="Q45" i="26"/>
  <c r="F34" i="26"/>
  <c r="Q105" i="26"/>
  <c r="O105" i="26"/>
  <c r="Q113" i="26"/>
  <c r="O113" i="26"/>
  <c r="P113" i="26"/>
  <c r="L18" i="26" l="1"/>
  <c r="K28" i="26"/>
  <c r="K103" i="26" s="1"/>
  <c r="K104" i="26" s="1"/>
  <c r="J28" i="26"/>
  <c r="J103" i="26" s="1"/>
  <c r="J104" i="26" s="1"/>
  <c r="I28" i="26"/>
  <c r="I103" i="26" s="1"/>
  <c r="I104" i="26" s="1"/>
  <c r="L28" i="26"/>
  <c r="L103" i="26" s="1"/>
  <c r="L104" i="26" s="1"/>
  <c r="N28" i="26"/>
  <c r="N103" i="26" s="1"/>
  <c r="N104" i="26" s="1"/>
  <c r="M28" i="26"/>
  <c r="M103" i="26" s="1"/>
  <c r="M104" i="26" s="1"/>
  <c r="N18" i="26"/>
  <c r="K93" i="26"/>
  <c r="M23" i="26"/>
  <c r="K24" i="26"/>
  <c r="J34" i="26"/>
  <c r="I18" i="26"/>
  <c r="M11" i="26"/>
  <c r="M12" i="26" s="1"/>
  <c r="K12" i="26"/>
  <c r="J94" i="26"/>
  <c r="J30" i="26"/>
  <c r="I16" i="26"/>
  <c r="L16" i="26"/>
  <c r="K16" i="26"/>
  <c r="N16" i="26"/>
  <c r="J16" i="26"/>
  <c r="M16" i="26"/>
  <c r="I94" i="26"/>
  <c r="I30" i="26"/>
  <c r="L93" i="26"/>
  <c r="N23" i="26"/>
  <c r="L24" i="26"/>
  <c r="G28" i="26"/>
  <c r="G103" i="26" s="1"/>
  <c r="G104" i="26" s="1"/>
  <c r="F28" i="26"/>
  <c r="E28" i="26"/>
  <c r="E103" i="26" s="1"/>
  <c r="H28" i="26"/>
  <c r="H103" i="26" s="1"/>
  <c r="H104" i="26" s="1"/>
  <c r="G16" i="26"/>
  <c r="H16" i="26"/>
  <c r="E16" i="26"/>
  <c r="F16" i="26"/>
  <c r="P11" i="26"/>
  <c r="O11" i="26"/>
  <c r="Q11" i="26"/>
  <c r="G82" i="26"/>
  <c r="P23" i="26"/>
  <c r="R69" i="26"/>
  <c r="Q63" i="26"/>
  <c r="O66" i="26"/>
  <c r="Q67" i="26"/>
  <c r="P64" i="26"/>
  <c r="Q64" i="26"/>
  <c r="O64" i="26"/>
  <c r="H34" i="26"/>
  <c r="I34" i="26" l="1"/>
  <c r="L30" i="26"/>
  <c r="L94" i="26"/>
  <c r="L34" i="26"/>
  <c r="K94" i="26"/>
  <c r="K30" i="26"/>
  <c r="M93" i="26"/>
  <c r="O93" i="26" s="1"/>
  <c r="M24" i="26"/>
  <c r="M18" i="26"/>
  <c r="N93" i="26"/>
  <c r="N24" i="26"/>
  <c r="K18" i="26"/>
  <c r="E104" i="26"/>
  <c r="O103" i="26"/>
  <c r="P28" i="26"/>
  <c r="F103" i="26"/>
  <c r="Q28" i="26"/>
  <c r="O28" i="26"/>
  <c r="P12" i="26"/>
  <c r="R12" i="26" s="1"/>
  <c r="P16" i="26"/>
  <c r="Q16" i="26"/>
  <c r="O16" i="26"/>
  <c r="Q12" i="26"/>
  <c r="Q23" i="26"/>
  <c r="P82" i="26"/>
  <c r="P80" i="26"/>
  <c r="P76" i="26"/>
  <c r="O23" i="26"/>
  <c r="O12" i="26"/>
  <c r="Q57" i="26"/>
  <c r="O57" i="26"/>
  <c r="P18" i="26"/>
  <c r="Q18" i="26" l="1"/>
  <c r="N30" i="26"/>
  <c r="P30" i="26" s="1"/>
  <c r="N94" i="26"/>
  <c r="M94" i="26"/>
  <c r="O94" i="26" s="1"/>
  <c r="M30" i="26"/>
  <c r="K34" i="26"/>
  <c r="D13" i="26"/>
  <c r="H13" i="26" s="1"/>
  <c r="H19" i="26" s="1"/>
  <c r="P103" i="26"/>
  <c r="F104" i="26"/>
  <c r="P104" i="26" s="1"/>
  <c r="Q103" i="26"/>
  <c r="O104" i="26"/>
  <c r="Q101" i="26"/>
  <c r="O101" i="26"/>
  <c r="Q76" i="26"/>
  <c r="R75" i="26"/>
  <c r="R76" i="26"/>
  <c r="O76" i="26"/>
  <c r="O18" i="26"/>
  <c r="O24" i="26"/>
  <c r="F13" i="26"/>
  <c r="F19" i="26" s="1"/>
  <c r="E13" i="26"/>
  <c r="G13" i="26"/>
  <c r="Q24" i="26"/>
  <c r="P93" i="26"/>
  <c r="Q93" i="26"/>
  <c r="P24" i="26"/>
  <c r="M34" i="26" l="1"/>
  <c r="O30" i="26"/>
  <c r="J13" i="26"/>
  <c r="J19" i="26" s="1"/>
  <c r="N13" i="26"/>
  <c r="N19" i="26" s="1"/>
  <c r="L13" i="26"/>
  <c r="L19" i="26" s="1"/>
  <c r="I13" i="26"/>
  <c r="I19" i="26" s="1"/>
  <c r="M13" i="26"/>
  <c r="M19" i="26" s="1"/>
  <c r="K13" i="26"/>
  <c r="K19" i="26" s="1"/>
  <c r="N34" i="26"/>
  <c r="Q104" i="26"/>
  <c r="B103" i="26" s="1"/>
  <c r="E19" i="26"/>
  <c r="E20" i="26" s="1"/>
  <c r="G19" i="26"/>
  <c r="G20" i="26" s="1"/>
  <c r="O80" i="26"/>
  <c r="Q80" i="26"/>
  <c r="O82" i="26"/>
  <c r="Q82" i="26"/>
  <c r="D25" i="26"/>
  <c r="R24" i="26"/>
  <c r="P13" i="26"/>
  <c r="R13" i="26" s="1"/>
  <c r="H20" i="26"/>
  <c r="Q30" i="26"/>
  <c r="P94" i="26"/>
  <c r="Q94" i="26"/>
  <c r="J25" i="26" l="1"/>
  <c r="I25" i="26"/>
  <c r="L25" i="26"/>
  <c r="K25" i="26"/>
  <c r="N25" i="26"/>
  <c r="M25" i="26"/>
  <c r="I20" i="26"/>
  <c r="M20" i="26"/>
  <c r="N20" i="26"/>
  <c r="O13" i="26"/>
  <c r="K20" i="26"/>
  <c r="L20" i="26"/>
  <c r="J20" i="26"/>
  <c r="Q13" i="26"/>
  <c r="O34" i="26"/>
  <c r="F25" i="26"/>
  <c r="E25" i="26"/>
  <c r="H25" i="26"/>
  <c r="G25" i="26"/>
  <c r="F20" i="26"/>
  <c r="P19" i="26"/>
  <c r="Q19" i="26"/>
  <c r="O19" i="26"/>
  <c r="P34" i="26"/>
  <c r="Q34" i="26"/>
  <c r="O20" i="26" l="1"/>
  <c r="M31" i="26"/>
  <c r="M95" i="26"/>
  <c r="M96" i="26" s="1"/>
  <c r="P20" i="26"/>
  <c r="N95" i="26"/>
  <c r="N96" i="26" s="1"/>
  <c r="N31" i="26"/>
  <c r="K31" i="26"/>
  <c r="K95" i="26"/>
  <c r="K96" i="26" s="1"/>
  <c r="L31" i="26"/>
  <c r="L95" i="26"/>
  <c r="L96" i="26" s="1"/>
  <c r="I95" i="26"/>
  <c r="I96" i="26" s="1"/>
  <c r="I31" i="26"/>
  <c r="J95" i="26"/>
  <c r="J96" i="26" s="1"/>
  <c r="J31" i="26"/>
  <c r="F31" i="26"/>
  <c r="F32" i="26" s="1"/>
  <c r="F95" i="26"/>
  <c r="F96" i="26" s="1"/>
  <c r="H95" i="26"/>
  <c r="H96" i="26" s="1"/>
  <c r="H31" i="26"/>
  <c r="H32" i="26" s="1"/>
  <c r="E95" i="26"/>
  <c r="E96" i="26" s="1"/>
  <c r="E31" i="26"/>
  <c r="E32" i="26" s="1"/>
  <c r="G31" i="26"/>
  <c r="G32" i="26" s="1"/>
  <c r="G95" i="26"/>
  <c r="G96" i="26" s="1"/>
  <c r="O25" i="26"/>
  <c r="Q25" i="26"/>
  <c r="P25" i="26"/>
  <c r="R25" i="26" s="1"/>
  <c r="Q20" i="26"/>
  <c r="M32" i="26" l="1"/>
  <c r="M35" i="26"/>
  <c r="M36" i="26" s="1"/>
  <c r="M84" i="26" s="1"/>
  <c r="I32" i="26"/>
  <c r="I35" i="26"/>
  <c r="I36" i="26" s="1"/>
  <c r="I84" i="26" s="1"/>
  <c r="N32" i="26"/>
  <c r="N35" i="26"/>
  <c r="N36" i="26" s="1"/>
  <c r="N84" i="26" s="1"/>
  <c r="J32" i="26"/>
  <c r="J35" i="26"/>
  <c r="J36" i="26" s="1"/>
  <c r="J84" i="26" s="1"/>
  <c r="L32" i="26"/>
  <c r="L35" i="26"/>
  <c r="L36" i="26" s="1"/>
  <c r="L84" i="26" s="1"/>
  <c r="K32" i="26"/>
  <c r="K35" i="26"/>
  <c r="K36" i="26" s="1"/>
  <c r="K84" i="26" s="1"/>
  <c r="G35" i="26"/>
  <c r="G36" i="26" s="1"/>
  <c r="G84" i="26" s="1"/>
  <c r="O31" i="26"/>
  <c r="E35" i="26"/>
  <c r="E36" i="26" s="1"/>
  <c r="E84" i="26" s="1"/>
  <c r="H35" i="26"/>
  <c r="H36" i="26" s="1"/>
  <c r="H84" i="26" s="1"/>
  <c r="P96" i="26"/>
  <c r="O96" i="26"/>
  <c r="Q96" i="26"/>
  <c r="B95" i="26" s="1"/>
  <c r="O95" i="26"/>
  <c r="Q31" i="26"/>
  <c r="P31" i="26"/>
  <c r="F35" i="26"/>
  <c r="F36" i="26" s="1"/>
  <c r="F84" i="26" s="1"/>
  <c r="Q95" i="26"/>
  <c r="P95" i="26"/>
  <c r="K122" i="26" l="1"/>
  <c r="K85" i="26"/>
  <c r="K87" i="26" s="1"/>
  <c r="L88" i="26" s="1"/>
  <c r="L87" i="26"/>
  <c r="L122" i="26"/>
  <c r="L85" i="26"/>
  <c r="N87" i="26"/>
  <c r="N122" i="26" s="1"/>
  <c r="N85" i="26"/>
  <c r="I85" i="26"/>
  <c r="I87" i="26" s="1"/>
  <c r="J87" i="26"/>
  <c r="J122" i="26"/>
  <c r="J85" i="26"/>
  <c r="M122" i="26"/>
  <c r="M85" i="26"/>
  <c r="M87" i="26" s="1"/>
  <c r="N88" i="26" s="1"/>
  <c r="H87" i="26"/>
  <c r="H122" i="26"/>
  <c r="O32" i="26"/>
  <c r="O35" i="26"/>
  <c r="O36" i="26"/>
  <c r="Q32" i="26"/>
  <c r="Q35" i="26"/>
  <c r="P36" i="26"/>
  <c r="F87" i="26"/>
  <c r="P84" i="26"/>
  <c r="P32" i="26"/>
  <c r="Q36" i="26"/>
  <c r="P35" i="26"/>
  <c r="Q84" i="26"/>
  <c r="O84" i="26"/>
  <c r="N90" i="26" l="1"/>
  <c r="N121" i="26" s="1"/>
  <c r="J88" i="26"/>
  <c r="J90" i="26" s="1"/>
  <c r="J121" i="26" s="1"/>
  <c r="I90" i="26"/>
  <c r="I121" i="26" s="1"/>
  <c r="L90" i="26"/>
  <c r="L121" i="26" s="1"/>
  <c r="M90" i="26"/>
  <c r="M121" i="26" s="1"/>
  <c r="I122" i="26"/>
  <c r="K90" i="26"/>
  <c r="K121" i="26" s="1"/>
  <c r="P87" i="26"/>
  <c r="P122" i="26" s="1"/>
  <c r="F122" i="26"/>
  <c r="R85" i="26"/>
  <c r="R84" i="26"/>
  <c r="D42" i="12" l="1"/>
  <c r="E42" i="12" s="1"/>
  <c r="D38" i="12"/>
  <c r="G38" i="12" s="1"/>
  <c r="H42" i="12"/>
  <c r="F42" i="12"/>
  <c r="H41" i="12"/>
  <c r="J41" i="12" s="1"/>
  <c r="G41" i="12"/>
  <c r="I41" i="12" s="1"/>
  <c r="D42" i="10"/>
  <c r="F42" i="10" s="1"/>
  <c r="R41" i="10"/>
  <c r="Q41" i="10"/>
  <c r="H41" i="10"/>
  <c r="J41" i="10" s="1"/>
  <c r="G41" i="10"/>
  <c r="I41" i="10" s="1"/>
  <c r="D38" i="10"/>
  <c r="F38" i="10" s="1"/>
  <c r="D41" i="22"/>
  <c r="E41" i="22" s="1"/>
  <c r="D37" i="22"/>
  <c r="F37" i="22" s="1"/>
  <c r="F40" i="22"/>
  <c r="G40" i="22" s="1"/>
  <c r="D41" i="13"/>
  <c r="E41" i="13" s="1"/>
  <c r="G40" i="13"/>
  <c r="F40" i="13"/>
  <c r="D37" i="13"/>
  <c r="E37" i="13" s="1"/>
  <c r="H38" i="12"/>
  <c r="H37" i="12"/>
  <c r="J37" i="12" s="1"/>
  <c r="G37" i="12"/>
  <c r="I37" i="12" s="1"/>
  <c r="R37" i="10"/>
  <c r="Q37" i="10"/>
  <c r="H37" i="10"/>
  <c r="J37" i="10" s="1"/>
  <c r="G37" i="10"/>
  <c r="I37" i="10" s="1"/>
  <c r="G36" i="22"/>
  <c r="F36" i="22"/>
  <c r="F36" i="13"/>
  <c r="B29" i="25"/>
  <c r="D30" i="25"/>
  <c r="E116" i="25" l="1"/>
  <c r="E120" i="25"/>
  <c r="G42" i="12"/>
  <c r="E38" i="12"/>
  <c r="K41" i="12"/>
  <c r="I42" i="12"/>
  <c r="L41" i="12"/>
  <c r="J42" i="12"/>
  <c r="I42" i="10"/>
  <c r="K41" i="10"/>
  <c r="J42" i="10"/>
  <c r="L41" i="10"/>
  <c r="G42" i="10"/>
  <c r="H42" i="10"/>
  <c r="E42" i="10"/>
  <c r="G37" i="22"/>
  <c r="E37" i="22"/>
  <c r="H40" i="22"/>
  <c r="G41" i="22"/>
  <c r="F41" i="22"/>
  <c r="F41" i="13"/>
  <c r="G41" i="13"/>
  <c r="H40" i="13"/>
  <c r="L37" i="12"/>
  <c r="J38" i="12"/>
  <c r="K37" i="12"/>
  <c r="I38" i="12"/>
  <c r="I38" i="10"/>
  <c r="K37" i="10"/>
  <c r="L37" i="10"/>
  <c r="J38" i="10"/>
  <c r="G38" i="10"/>
  <c r="H38" i="10"/>
  <c r="E38" i="10"/>
  <c r="H36" i="22"/>
  <c r="G36" i="13"/>
  <c r="F37" i="13"/>
  <c r="Q1" i="25"/>
  <c r="M41" i="12" l="1"/>
  <c r="M42" i="12" s="1"/>
  <c r="K42" i="12"/>
  <c r="O42" i="12" s="1"/>
  <c r="N41" i="12"/>
  <c r="N42" i="12" s="1"/>
  <c r="L42" i="12"/>
  <c r="P42" i="12" s="1"/>
  <c r="P41" i="12"/>
  <c r="L42" i="10"/>
  <c r="N41" i="10"/>
  <c r="M41" i="10"/>
  <c r="K42" i="10"/>
  <c r="H41" i="22"/>
  <c r="I40" i="22"/>
  <c r="I41" i="22" s="1"/>
  <c r="I40" i="13"/>
  <c r="I41" i="13" s="1"/>
  <c r="H41" i="13"/>
  <c r="K38" i="12"/>
  <c r="M37" i="12"/>
  <c r="L38" i="12"/>
  <c r="N37" i="12"/>
  <c r="L38" i="10"/>
  <c r="N37" i="10"/>
  <c r="M37" i="10"/>
  <c r="K38" i="10"/>
  <c r="H37" i="22"/>
  <c r="I36" i="22"/>
  <c r="I37" i="22" s="1"/>
  <c r="H36" i="13"/>
  <c r="G37" i="13"/>
  <c r="H56" i="25"/>
  <c r="I56" i="25"/>
  <c r="H63" i="25"/>
  <c r="I63" i="25"/>
  <c r="H64" i="25"/>
  <c r="I64" i="25"/>
  <c r="H65" i="25"/>
  <c r="I65" i="25"/>
  <c r="H66" i="25"/>
  <c r="I66" i="25"/>
  <c r="O41" i="12" l="1"/>
  <c r="M42" i="10"/>
  <c r="O42" i="10" s="1"/>
  <c r="O41" i="10"/>
  <c r="N42" i="10"/>
  <c r="P42" i="10" s="1"/>
  <c r="P41" i="10"/>
  <c r="J41" i="22"/>
  <c r="J40" i="22"/>
  <c r="J41" i="13"/>
  <c r="J40" i="13"/>
  <c r="N38" i="12"/>
  <c r="P38" i="12" s="1"/>
  <c r="P37" i="12"/>
  <c r="M38" i="12"/>
  <c r="O38" i="12" s="1"/>
  <c r="O37" i="12"/>
  <c r="M38" i="10"/>
  <c r="O38" i="10" s="1"/>
  <c r="O37" i="10"/>
  <c r="N38" i="10"/>
  <c r="P38" i="10" s="1"/>
  <c r="P37" i="10"/>
  <c r="J37" i="22"/>
  <c r="J36" i="22"/>
  <c r="I36" i="13"/>
  <c r="H37" i="13"/>
  <c r="I68" i="25"/>
  <c r="H68" i="25"/>
  <c r="U192" i="25"/>
  <c r="G66" i="25"/>
  <c r="F66" i="25"/>
  <c r="E66" i="25"/>
  <c r="G65" i="25"/>
  <c r="F65" i="25"/>
  <c r="E65" i="25"/>
  <c r="G64" i="25"/>
  <c r="F64" i="25"/>
  <c r="E64" i="25"/>
  <c r="G63" i="25"/>
  <c r="F63" i="25"/>
  <c r="E63" i="25"/>
  <c r="G56" i="25"/>
  <c r="F56" i="25"/>
  <c r="E56" i="25"/>
  <c r="F28" i="25"/>
  <c r="F29" i="25" s="1"/>
  <c r="D12" i="25"/>
  <c r="Q2" i="25"/>
  <c r="C3" i="25"/>
  <c r="C4" i="25" s="1"/>
  <c r="J56" i="25"/>
  <c r="J64" i="25"/>
  <c r="J66" i="25"/>
  <c r="J65" i="25"/>
  <c r="J63" i="25"/>
  <c r="F120" i="25" l="1"/>
  <c r="F44" i="25"/>
  <c r="J134" i="25"/>
  <c r="F134" i="25"/>
  <c r="G134" i="25"/>
  <c r="H134" i="25"/>
  <c r="I134" i="25"/>
  <c r="E134" i="25"/>
  <c r="F116" i="25"/>
  <c r="G10" i="25"/>
  <c r="Q42" i="10"/>
  <c r="Q38" i="10"/>
  <c r="I37" i="13"/>
  <c r="J37" i="13" s="1"/>
  <c r="J36" i="13"/>
  <c r="E84" i="25"/>
  <c r="F112" i="25"/>
  <c r="I124" i="25"/>
  <c r="H128" i="25"/>
  <c r="H124" i="25"/>
  <c r="I128" i="25"/>
  <c r="F68" i="25"/>
  <c r="E30" i="25"/>
  <c r="F108" i="25"/>
  <c r="G68" i="25"/>
  <c r="E68" i="25"/>
  <c r="E124" i="25"/>
  <c r="F124" i="25"/>
  <c r="E128" i="25"/>
  <c r="G124" i="25"/>
  <c r="F128" i="25"/>
  <c r="J125" i="25"/>
  <c r="G128" i="25"/>
  <c r="G28" i="25"/>
  <c r="G29" i="25" s="1"/>
  <c r="E108" i="25"/>
  <c r="J129" i="25"/>
  <c r="E112" i="25"/>
  <c r="J68" i="25"/>
  <c r="J124" i="25"/>
  <c r="J128" i="25"/>
  <c r="G11" i="25" l="1"/>
  <c r="G23" i="25" s="1"/>
  <c r="G120" i="25"/>
  <c r="G44" i="25"/>
  <c r="G116" i="25"/>
  <c r="F117" i="25"/>
  <c r="E118" i="25"/>
  <c r="E122" i="25"/>
  <c r="F109" i="25"/>
  <c r="F84" i="25"/>
  <c r="G112" i="25"/>
  <c r="E131" i="25"/>
  <c r="E45" i="25"/>
  <c r="E110" i="25"/>
  <c r="E111" i="25" s="1"/>
  <c r="F12" i="25"/>
  <c r="F24" i="25" s="1"/>
  <c r="H28" i="25"/>
  <c r="H29" i="25" s="1"/>
  <c r="H10" i="25"/>
  <c r="E12" i="25"/>
  <c r="E24" i="25" s="1"/>
  <c r="E115" i="25"/>
  <c r="B101" i="25"/>
  <c r="G108" i="25"/>
  <c r="F30" i="25"/>
  <c r="E48" i="25"/>
  <c r="E96" i="25"/>
  <c r="H11" i="25" l="1"/>
  <c r="H23" i="25" s="1"/>
  <c r="H44" i="25"/>
  <c r="H120" i="25"/>
  <c r="H116" i="25"/>
  <c r="G117" i="25"/>
  <c r="F118" i="25"/>
  <c r="F119" i="25" s="1"/>
  <c r="F122" i="25"/>
  <c r="F123" i="25" s="1"/>
  <c r="I28" i="25"/>
  <c r="I29" i="25" s="1"/>
  <c r="G109" i="25"/>
  <c r="F131" i="25"/>
  <c r="F110" i="25"/>
  <c r="F111" i="25" s="1"/>
  <c r="F45" i="25"/>
  <c r="H108" i="25"/>
  <c r="I112" i="25"/>
  <c r="H112" i="25"/>
  <c r="G12" i="25"/>
  <c r="G24" i="25" s="1"/>
  <c r="I10" i="25"/>
  <c r="G84" i="25"/>
  <c r="F115" i="25"/>
  <c r="F127" i="25"/>
  <c r="E127" i="25"/>
  <c r="E123" i="25"/>
  <c r="E46" i="25"/>
  <c r="F48" i="25"/>
  <c r="F25" i="25"/>
  <c r="G30" i="25"/>
  <c r="F96" i="25"/>
  <c r="E119" i="25"/>
  <c r="J28" i="25"/>
  <c r="J10" i="25"/>
  <c r="J112" i="25"/>
  <c r="I44" i="25" l="1"/>
  <c r="I120" i="25"/>
  <c r="F49" i="25"/>
  <c r="F50" i="25" s="1"/>
  <c r="G48" i="25"/>
  <c r="G96" i="25"/>
  <c r="E25" i="25"/>
  <c r="I11" i="25"/>
  <c r="I23" i="25" s="1"/>
  <c r="I108" i="25"/>
  <c r="G118" i="25"/>
  <c r="G119" i="25" s="1"/>
  <c r="G122" i="25"/>
  <c r="G123" i="25" s="1"/>
  <c r="H117" i="25"/>
  <c r="I116" i="25"/>
  <c r="G131" i="25"/>
  <c r="G110" i="25"/>
  <c r="G111" i="25" s="1"/>
  <c r="G45" i="25"/>
  <c r="H109" i="25"/>
  <c r="E49" i="25"/>
  <c r="J113" i="25"/>
  <c r="H84" i="25"/>
  <c r="H30" i="25"/>
  <c r="H12" i="25"/>
  <c r="H24" i="25" s="1"/>
  <c r="G115" i="25"/>
  <c r="G127" i="25"/>
  <c r="H127" i="25"/>
  <c r="F46" i="25"/>
  <c r="J23" i="25"/>
  <c r="J120" i="25"/>
  <c r="J29" i="25"/>
  <c r="J11" i="25"/>
  <c r="J116" i="25"/>
  <c r="J108" i="25"/>
  <c r="E50" i="25" l="1"/>
  <c r="H122" i="25"/>
  <c r="H123" i="25" s="1"/>
  <c r="G49" i="25"/>
  <c r="G25" i="25"/>
  <c r="J121" i="25"/>
  <c r="I109" i="25"/>
  <c r="H118" i="25"/>
  <c r="H119" i="25" s="1"/>
  <c r="I117" i="25"/>
  <c r="J117" i="25" s="1"/>
  <c r="I30" i="25"/>
  <c r="I84" i="25"/>
  <c r="I131" i="25"/>
  <c r="H131" i="25"/>
  <c r="H110" i="25"/>
  <c r="H111" i="25" s="1"/>
  <c r="H45" i="25"/>
  <c r="H96" i="25"/>
  <c r="H115" i="25"/>
  <c r="I12" i="25"/>
  <c r="I24" i="25" s="1"/>
  <c r="H48" i="25"/>
  <c r="J130" i="25"/>
  <c r="I115" i="25"/>
  <c r="I127" i="25"/>
  <c r="J127" i="25" s="1"/>
  <c r="B126" i="25" s="1"/>
  <c r="G46" i="25"/>
  <c r="J84" i="25"/>
  <c r="J44" i="25"/>
  <c r="J12" i="25"/>
  <c r="J24" i="25"/>
  <c r="J30" i="25"/>
  <c r="I48" i="25" l="1"/>
  <c r="I122" i="25"/>
  <c r="I123" i="25" s="1"/>
  <c r="J123" i="25" s="1"/>
  <c r="B122" i="25" s="1"/>
  <c r="G50" i="25"/>
  <c r="H46" i="25"/>
  <c r="I96" i="25"/>
  <c r="H25" i="25"/>
  <c r="I110" i="25"/>
  <c r="I111" i="25" s="1"/>
  <c r="I118" i="25"/>
  <c r="J118" i="25" s="1"/>
  <c r="I45" i="25"/>
  <c r="J131" i="25"/>
  <c r="B130" i="25" s="1"/>
  <c r="H49" i="25"/>
  <c r="J115" i="25"/>
  <c r="B114" i="25" s="1"/>
  <c r="J114" i="25"/>
  <c r="J126" i="25"/>
  <c r="J109" i="25"/>
  <c r="J48" i="25"/>
  <c r="J96" i="25"/>
  <c r="J45" i="25"/>
  <c r="I46" i="25" l="1"/>
  <c r="J122" i="25"/>
  <c r="H50" i="25"/>
  <c r="J110" i="25"/>
  <c r="I119" i="25"/>
  <c r="J119" i="25" s="1"/>
  <c r="B118" i="25" s="1"/>
  <c r="I25" i="25"/>
  <c r="I49" i="25"/>
  <c r="J111" i="25"/>
  <c r="B110" i="25" s="1"/>
  <c r="J49" i="25"/>
  <c r="J25" i="25"/>
  <c r="J46" i="25"/>
  <c r="I50" i="25" l="1"/>
  <c r="J50" i="25"/>
  <c r="R45" i="10" l="1"/>
  <c r="R43" i="10"/>
  <c r="R39" i="10"/>
  <c r="R35" i="10"/>
  <c r="R33" i="10"/>
  <c r="R31" i="10"/>
  <c r="R24" i="10"/>
  <c r="R22" i="10"/>
  <c r="R20" i="10"/>
  <c r="R18" i="10"/>
  <c r="R16" i="10"/>
  <c r="R14" i="10"/>
  <c r="Q45" i="10"/>
  <c r="Q43" i="10"/>
  <c r="Q39" i="10"/>
  <c r="Q35" i="10"/>
  <c r="Q33" i="10"/>
  <c r="Q31" i="10"/>
  <c r="Q24" i="10"/>
  <c r="Q22" i="10"/>
  <c r="Q20" i="10"/>
  <c r="Q18" i="10"/>
  <c r="Q16" i="10"/>
  <c r="Q14" i="10"/>
  <c r="F74" i="12" l="1"/>
  <c r="F46" i="12" l="1"/>
  <c r="F40" i="12"/>
  <c r="H84" i="10" l="1"/>
  <c r="J84" i="10" s="1"/>
  <c r="L84" i="10" s="1"/>
  <c r="N84" i="10" s="1"/>
  <c r="E74" i="10"/>
  <c r="F44" i="12" l="1"/>
  <c r="F34" i="12"/>
  <c r="F25" i="12"/>
  <c r="F23" i="12"/>
  <c r="F21" i="12"/>
  <c r="F19" i="12"/>
  <c r="F17" i="12"/>
  <c r="Z161" i="12" l="1"/>
  <c r="Z161" i="10"/>
  <c r="R161" i="22"/>
  <c r="R161" i="13"/>
  <c r="F83" i="22"/>
  <c r="G83" i="22" s="1"/>
  <c r="H83" i="22" s="1"/>
  <c r="J82" i="22"/>
  <c r="J81" i="22"/>
  <c r="J80" i="22"/>
  <c r="J79" i="22"/>
  <c r="J78" i="22"/>
  <c r="J77" i="22"/>
  <c r="J76" i="22"/>
  <c r="G75" i="22"/>
  <c r="H75" i="22" s="1"/>
  <c r="I75" i="22" s="1"/>
  <c r="F75" i="22"/>
  <c r="J74" i="22"/>
  <c r="F73" i="22"/>
  <c r="E73" i="22"/>
  <c r="E85" i="22" s="1"/>
  <c r="J71" i="22"/>
  <c r="J70" i="22"/>
  <c r="J69" i="22"/>
  <c r="J68" i="22"/>
  <c r="F67" i="22"/>
  <c r="G67" i="22" s="1"/>
  <c r="H67" i="22" s="1"/>
  <c r="I67" i="22" s="1"/>
  <c r="F66" i="22"/>
  <c r="F65" i="22"/>
  <c r="G65" i="22" s="1"/>
  <c r="F64" i="22"/>
  <c r="F63" i="22"/>
  <c r="G63" i="22" s="1"/>
  <c r="H63" i="22" s="1"/>
  <c r="J60" i="22"/>
  <c r="F58" i="22"/>
  <c r="G58" i="22" s="1"/>
  <c r="F57" i="22"/>
  <c r="G57" i="22" s="1"/>
  <c r="H57" i="22" s="1"/>
  <c r="I57" i="22" s="1"/>
  <c r="J55" i="22"/>
  <c r="E47" i="22"/>
  <c r="D45" i="22"/>
  <c r="E45" i="22" s="1"/>
  <c r="F44" i="22"/>
  <c r="D43" i="22"/>
  <c r="E43" i="22" s="1"/>
  <c r="F42" i="22"/>
  <c r="D39" i="22"/>
  <c r="E39" i="22" s="1"/>
  <c r="F38" i="22"/>
  <c r="D35" i="22"/>
  <c r="E35" i="22" s="1"/>
  <c r="F34" i="22"/>
  <c r="D33" i="22"/>
  <c r="E33" i="22" s="1"/>
  <c r="F32" i="22"/>
  <c r="D31" i="22"/>
  <c r="E31" i="22" s="1"/>
  <c r="F30" i="22"/>
  <c r="E26" i="22"/>
  <c r="D24" i="22"/>
  <c r="E24" i="22" s="1"/>
  <c r="F23" i="22"/>
  <c r="D22" i="22"/>
  <c r="E22" i="22" s="1"/>
  <c r="F21" i="22"/>
  <c r="D20" i="22"/>
  <c r="E20" i="22" s="1"/>
  <c r="F19" i="22"/>
  <c r="D18" i="22"/>
  <c r="E18" i="22" s="1"/>
  <c r="F17" i="22"/>
  <c r="D16" i="22"/>
  <c r="E16" i="22" s="1"/>
  <c r="F15" i="22"/>
  <c r="D14" i="22"/>
  <c r="E14" i="22" s="1"/>
  <c r="F13" i="22"/>
  <c r="AE6" i="22"/>
  <c r="AE5" i="22"/>
  <c r="AE4" i="22"/>
  <c r="J2" i="22"/>
  <c r="J1" i="22"/>
  <c r="C3" i="22" s="1"/>
  <c r="F96" i="22" l="1"/>
  <c r="G96" i="22"/>
  <c r="J96" i="22"/>
  <c r="H96" i="22"/>
  <c r="I96" i="22"/>
  <c r="E96" i="22"/>
  <c r="F18" i="22"/>
  <c r="F39" i="22"/>
  <c r="E27" i="22"/>
  <c r="E28" i="22" s="1"/>
  <c r="F45" i="22"/>
  <c r="F14" i="22"/>
  <c r="G15" i="22"/>
  <c r="G16" i="22" s="1"/>
  <c r="F16" i="22"/>
  <c r="G23" i="22"/>
  <c r="G24" i="22" s="1"/>
  <c r="F24" i="22"/>
  <c r="G34" i="22"/>
  <c r="G35" i="22" s="1"/>
  <c r="F35" i="22"/>
  <c r="G44" i="22"/>
  <c r="G45" i="22" s="1"/>
  <c r="F84" i="22"/>
  <c r="G38" i="22"/>
  <c r="G39" i="22" s="1"/>
  <c r="G19" i="22"/>
  <c r="G20" i="22" s="1"/>
  <c r="F20" i="22"/>
  <c r="F33" i="22"/>
  <c r="G42" i="22"/>
  <c r="G43" i="22" s="1"/>
  <c r="F43" i="22"/>
  <c r="F22" i="22"/>
  <c r="G32" i="22"/>
  <c r="G33" i="22" s="1"/>
  <c r="J75" i="22"/>
  <c r="F47" i="22"/>
  <c r="F31" i="22"/>
  <c r="F85" i="22"/>
  <c r="H15" i="22"/>
  <c r="H16" i="22" s="1"/>
  <c r="E48" i="22"/>
  <c r="E49" i="22" s="1"/>
  <c r="H65" i="22"/>
  <c r="I65" i="22" s="1"/>
  <c r="E91" i="22"/>
  <c r="I91" i="22"/>
  <c r="I93" i="22" s="1"/>
  <c r="I95" i="22" s="1"/>
  <c r="H91" i="22"/>
  <c r="H93" i="22" s="1"/>
  <c r="H95" i="22" s="1"/>
  <c r="G91" i="22"/>
  <c r="G93" i="22" s="1"/>
  <c r="G95" i="22" s="1"/>
  <c r="F91" i="22"/>
  <c r="F93" i="22" s="1"/>
  <c r="F95" i="22" s="1"/>
  <c r="H19" i="22"/>
  <c r="H20" i="22" s="1"/>
  <c r="H58" i="22"/>
  <c r="I58" i="22" s="1"/>
  <c r="J67" i="22"/>
  <c r="H38" i="22"/>
  <c r="H39" i="22" s="1"/>
  <c r="G13" i="22"/>
  <c r="G14" i="22" s="1"/>
  <c r="G17" i="22"/>
  <c r="G18" i="22" s="1"/>
  <c r="G21" i="22"/>
  <c r="G22" i="22" s="1"/>
  <c r="F26" i="22"/>
  <c r="G64" i="22"/>
  <c r="G66" i="22"/>
  <c r="H66" i="22" s="1"/>
  <c r="I66" i="22" s="1"/>
  <c r="J66" i="22" s="1"/>
  <c r="G30" i="22"/>
  <c r="G31" i="22" s="1"/>
  <c r="J57" i="22"/>
  <c r="E84" i="22"/>
  <c r="E51" i="22"/>
  <c r="I63" i="22"/>
  <c r="I83" i="22"/>
  <c r="J83" i="22" s="1"/>
  <c r="F48" i="12"/>
  <c r="E48" i="12"/>
  <c r="F27" i="12"/>
  <c r="E27" i="12"/>
  <c r="F48" i="10"/>
  <c r="E48" i="10"/>
  <c r="F27" i="10"/>
  <c r="E27" i="10"/>
  <c r="E47" i="13"/>
  <c r="E26" i="13"/>
  <c r="F27" i="22" l="1"/>
  <c r="F28" i="22" s="1"/>
  <c r="H42" i="22"/>
  <c r="H43" i="22" s="1"/>
  <c r="G73" i="22"/>
  <c r="G84" i="22" s="1"/>
  <c r="J58" i="22"/>
  <c r="H23" i="22"/>
  <c r="H24" i="22" s="1"/>
  <c r="J65" i="22"/>
  <c r="H32" i="22"/>
  <c r="H33" i="22" s="1"/>
  <c r="H34" i="22"/>
  <c r="H35" i="22" s="1"/>
  <c r="H44" i="22"/>
  <c r="H45" i="22" s="1"/>
  <c r="E52" i="22"/>
  <c r="E53" i="22" s="1"/>
  <c r="H17" i="22"/>
  <c r="H18" i="22" s="1"/>
  <c r="G47" i="22"/>
  <c r="H30" i="22"/>
  <c r="H31" i="22" s="1"/>
  <c r="H13" i="22"/>
  <c r="H14" i="22" s="1"/>
  <c r="G26" i="22"/>
  <c r="I15" i="22"/>
  <c r="I16" i="22" s="1"/>
  <c r="J16" i="22" s="1"/>
  <c r="H64" i="22"/>
  <c r="I38" i="22"/>
  <c r="I39" i="22" s="1"/>
  <c r="I19" i="22"/>
  <c r="I20" i="22" s="1"/>
  <c r="I42" i="22"/>
  <c r="I43" i="22" s="1"/>
  <c r="I34" i="22"/>
  <c r="H73" i="22"/>
  <c r="F48" i="22"/>
  <c r="F49" i="22" s="1"/>
  <c r="F51" i="22"/>
  <c r="J63" i="22"/>
  <c r="E93" i="22"/>
  <c r="E95" i="22" s="1"/>
  <c r="J91" i="22"/>
  <c r="I32" i="22"/>
  <c r="I33" i="22" s="1"/>
  <c r="H21" i="22"/>
  <c r="H22" i="22" s="1"/>
  <c r="I23" i="22"/>
  <c r="I24" i="22" s="1"/>
  <c r="J24" i="22" s="1"/>
  <c r="E74" i="12"/>
  <c r="F74" i="10"/>
  <c r="E71" i="13"/>
  <c r="J43" i="22" l="1"/>
  <c r="I44" i="22"/>
  <c r="I45" i="22" s="1"/>
  <c r="J45" i="22" s="1"/>
  <c r="G85" i="22"/>
  <c r="J15" i="22"/>
  <c r="J34" i="22"/>
  <c r="I35" i="22"/>
  <c r="J35" i="22" s="1"/>
  <c r="J20" i="22"/>
  <c r="J39" i="22"/>
  <c r="G51" i="22"/>
  <c r="E87" i="22"/>
  <c r="I73" i="22"/>
  <c r="I84" i="22" s="1"/>
  <c r="J93" i="22"/>
  <c r="G27" i="22"/>
  <c r="I17" i="22"/>
  <c r="I18" i="22" s="1"/>
  <c r="I21" i="22"/>
  <c r="I22" i="22" s="1"/>
  <c r="G48" i="22"/>
  <c r="G49" i="22" s="1"/>
  <c r="J32" i="22"/>
  <c r="F52" i="22"/>
  <c r="J42" i="22"/>
  <c r="H47" i="22"/>
  <c r="I30" i="22"/>
  <c r="I31" i="22" s="1"/>
  <c r="H48" i="22"/>
  <c r="H26" i="22"/>
  <c r="I13" i="22"/>
  <c r="I14" i="22" s="1"/>
  <c r="I64" i="22"/>
  <c r="H85" i="22"/>
  <c r="J33" i="22"/>
  <c r="J19" i="22"/>
  <c r="J23" i="22"/>
  <c r="H84" i="22"/>
  <c r="J38" i="22"/>
  <c r="E89" i="22" l="1"/>
  <c r="E88" i="22"/>
  <c r="J44" i="22"/>
  <c r="J84" i="22"/>
  <c r="H49" i="22"/>
  <c r="J73" i="22"/>
  <c r="I85" i="22"/>
  <c r="J85" i="22" s="1"/>
  <c r="J18" i="22"/>
  <c r="I47" i="22"/>
  <c r="J47" i="22" s="1"/>
  <c r="J30" i="22"/>
  <c r="I26" i="22"/>
  <c r="J13" i="22"/>
  <c r="D5" i="22"/>
  <c r="C5" i="22"/>
  <c r="H51" i="22"/>
  <c r="J17" i="22"/>
  <c r="J64" i="22"/>
  <c r="G52" i="22"/>
  <c r="G28" i="22"/>
  <c r="F53" i="22"/>
  <c r="H27" i="22"/>
  <c r="H52" i="22" s="1"/>
  <c r="J22" i="22"/>
  <c r="J21" i="22"/>
  <c r="F49" i="12"/>
  <c r="H28" i="22" l="1"/>
  <c r="I51" i="22"/>
  <c r="J51" i="22" s="1"/>
  <c r="I48" i="22"/>
  <c r="J48" i="22" s="1"/>
  <c r="J31" i="22"/>
  <c r="J26" i="22"/>
  <c r="G53" i="22"/>
  <c r="G87" i="22" s="1"/>
  <c r="G88" i="22" s="1"/>
  <c r="H53" i="22"/>
  <c r="H87" i="22" s="1"/>
  <c r="H88" i="22" s="1"/>
  <c r="F87" i="22"/>
  <c r="I27" i="22"/>
  <c r="I28" i="22" s="1"/>
  <c r="J14" i="22"/>
  <c r="F86" i="12"/>
  <c r="E86" i="12"/>
  <c r="F85" i="12"/>
  <c r="E85" i="12"/>
  <c r="H84" i="12"/>
  <c r="J84" i="12" s="1"/>
  <c r="G84" i="12"/>
  <c r="I84" i="12" s="1"/>
  <c r="P83" i="12"/>
  <c r="O83" i="12"/>
  <c r="P82" i="12"/>
  <c r="O82" i="12"/>
  <c r="P80" i="12"/>
  <c r="O80" i="12"/>
  <c r="P81" i="12"/>
  <c r="O81" i="12"/>
  <c r="P79" i="12"/>
  <c r="O79" i="12"/>
  <c r="P78" i="12"/>
  <c r="O78" i="12"/>
  <c r="P77" i="12"/>
  <c r="O77" i="12"/>
  <c r="P75" i="12"/>
  <c r="O75" i="12"/>
  <c r="H76" i="12"/>
  <c r="J76" i="12" s="1"/>
  <c r="G76" i="12"/>
  <c r="I76" i="12" s="1"/>
  <c r="P72" i="12"/>
  <c r="O72" i="12"/>
  <c r="P71" i="12"/>
  <c r="O71" i="12"/>
  <c r="J28" i="22" l="1"/>
  <c r="F89" i="22"/>
  <c r="F88" i="22"/>
  <c r="G89" i="22"/>
  <c r="H89" i="22"/>
  <c r="I52" i="22"/>
  <c r="J52" i="22" s="1"/>
  <c r="J27" i="22"/>
  <c r="I49" i="22"/>
  <c r="J49" i="22" s="1"/>
  <c r="P84" i="12"/>
  <c r="L84" i="12"/>
  <c r="N84" i="12" s="1"/>
  <c r="K84" i="12"/>
  <c r="M84" i="12" s="1"/>
  <c r="O76" i="12"/>
  <c r="K76" i="12"/>
  <c r="M76" i="12" s="1"/>
  <c r="L76" i="12"/>
  <c r="N76" i="12" s="1"/>
  <c r="P76" i="12"/>
  <c r="F73" i="13"/>
  <c r="G73" i="13" s="1"/>
  <c r="H73" i="13" s="1"/>
  <c r="I73" i="13" s="1"/>
  <c r="I53" i="22" l="1"/>
  <c r="O84" i="12"/>
  <c r="E83" i="13"/>
  <c r="J69" i="13"/>
  <c r="J68" i="13"/>
  <c r="F81" i="13"/>
  <c r="J80" i="13"/>
  <c r="J79" i="13"/>
  <c r="J78" i="13"/>
  <c r="J77" i="13"/>
  <c r="J76" i="13"/>
  <c r="J75" i="13"/>
  <c r="J74" i="13"/>
  <c r="J73" i="13"/>
  <c r="J72" i="13"/>
  <c r="E85" i="10"/>
  <c r="I87" i="22" l="1"/>
  <c r="J53" i="22"/>
  <c r="G81" i="13"/>
  <c r="H81" i="13" s="1"/>
  <c r="I81" i="13" s="1"/>
  <c r="I89" i="22" l="1"/>
  <c r="J89" i="22" s="1"/>
  <c r="I88" i="22"/>
  <c r="J88" i="22" s="1"/>
  <c r="J87" i="22"/>
  <c r="J95" i="22" s="1"/>
  <c r="J81" i="13"/>
  <c r="C88" i="22" l="1"/>
  <c r="C89" i="22"/>
  <c r="O69" i="10" l="1"/>
  <c r="P69" i="10"/>
  <c r="O70" i="10"/>
  <c r="P70" i="10"/>
  <c r="O71" i="10"/>
  <c r="P71" i="10"/>
  <c r="O72" i="10"/>
  <c r="P72" i="10"/>
  <c r="G84" i="10"/>
  <c r="I84" i="10" s="1"/>
  <c r="K84" i="10" s="1"/>
  <c r="M84" i="10" s="1"/>
  <c r="H83" i="10"/>
  <c r="J83" i="10" s="1"/>
  <c r="G83" i="10"/>
  <c r="I83" i="10" s="1"/>
  <c r="K83" i="10" s="1"/>
  <c r="H82" i="10"/>
  <c r="J82" i="10" s="1"/>
  <c r="L82" i="10" s="1"/>
  <c r="N82" i="10" s="1"/>
  <c r="G82" i="10"/>
  <c r="H81" i="10"/>
  <c r="G81" i="10"/>
  <c r="I81" i="10" s="1"/>
  <c r="K81" i="10" s="1"/>
  <c r="M81" i="10" s="1"/>
  <c r="H80" i="10"/>
  <c r="J80" i="10" s="1"/>
  <c r="L80" i="10" s="1"/>
  <c r="N80" i="10" s="1"/>
  <c r="G80" i="10"/>
  <c r="H79" i="10"/>
  <c r="J79" i="10" s="1"/>
  <c r="G79" i="10"/>
  <c r="I79" i="10" s="1"/>
  <c r="K79" i="10" s="1"/>
  <c r="H78" i="10"/>
  <c r="J78" i="10" s="1"/>
  <c r="L78" i="10" s="1"/>
  <c r="N78" i="10" s="1"/>
  <c r="G78" i="10"/>
  <c r="H77" i="10"/>
  <c r="G77" i="10"/>
  <c r="I77" i="10" s="1"/>
  <c r="K77" i="10" s="1"/>
  <c r="M77" i="10" s="1"/>
  <c r="H76" i="10"/>
  <c r="J76" i="10" s="1"/>
  <c r="L76" i="10" s="1"/>
  <c r="N76" i="10" s="1"/>
  <c r="G76" i="10"/>
  <c r="H75" i="10"/>
  <c r="G75" i="10"/>
  <c r="I75" i="10" s="1"/>
  <c r="H66" i="10"/>
  <c r="J66" i="10" s="1"/>
  <c r="L66" i="10" s="1"/>
  <c r="N66" i="10" s="1"/>
  <c r="H67" i="10"/>
  <c r="H68" i="10"/>
  <c r="J68" i="10" s="1"/>
  <c r="L68" i="10" s="1"/>
  <c r="N68" i="10" s="1"/>
  <c r="G68" i="10"/>
  <c r="I68" i="10" s="1"/>
  <c r="K68" i="10" s="1"/>
  <c r="M68" i="10" s="1"/>
  <c r="G66" i="10"/>
  <c r="G67" i="10"/>
  <c r="I67" i="10" s="1"/>
  <c r="K67" i="10" s="1"/>
  <c r="M67" i="10" s="1"/>
  <c r="P82" i="10" l="1"/>
  <c r="J77" i="10"/>
  <c r="L77" i="10" s="1"/>
  <c r="N77" i="10" s="1"/>
  <c r="P78" i="10"/>
  <c r="O81" i="10"/>
  <c r="J81" i="10"/>
  <c r="L81" i="10" s="1"/>
  <c r="N81" i="10" s="1"/>
  <c r="L79" i="10"/>
  <c r="N79" i="10" s="1"/>
  <c r="L83" i="10"/>
  <c r="N83" i="10" s="1"/>
  <c r="M83" i="10"/>
  <c r="O83" i="10" s="1"/>
  <c r="M79" i="10"/>
  <c r="O79" i="10" s="1"/>
  <c r="O77" i="10"/>
  <c r="I78" i="10"/>
  <c r="K78" i="10" s="1"/>
  <c r="M78" i="10" s="1"/>
  <c r="I82" i="10"/>
  <c r="K82" i="10" s="1"/>
  <c r="M82" i="10" s="1"/>
  <c r="K75" i="10"/>
  <c r="J75" i="10"/>
  <c r="P80" i="10"/>
  <c r="P76" i="10"/>
  <c r="I76" i="10"/>
  <c r="K76" i="10" s="1"/>
  <c r="M76" i="10" s="1"/>
  <c r="I80" i="10"/>
  <c r="K80" i="10" s="1"/>
  <c r="M80" i="10" s="1"/>
  <c r="P66" i="10"/>
  <c r="J67" i="10"/>
  <c r="L67" i="10" s="1"/>
  <c r="N67" i="10" s="1"/>
  <c r="O67" i="10"/>
  <c r="P68" i="10"/>
  <c r="O68" i="10"/>
  <c r="I66" i="10"/>
  <c r="K66" i="10" s="1"/>
  <c r="M66" i="10" s="1"/>
  <c r="O84" i="10" l="1"/>
  <c r="P67" i="10"/>
  <c r="O78" i="10"/>
  <c r="M75" i="10"/>
  <c r="O76" i="10"/>
  <c r="O82" i="10"/>
  <c r="P79" i="10"/>
  <c r="P81" i="10"/>
  <c r="L75" i="10"/>
  <c r="P77" i="10"/>
  <c r="P83" i="10"/>
  <c r="O80" i="10"/>
  <c r="O75" i="10"/>
  <c r="O66" i="10"/>
  <c r="N75" i="10" l="1"/>
  <c r="P75" i="10" l="1"/>
  <c r="F34" i="13" l="1"/>
  <c r="F13" i="13"/>
  <c r="G34" i="13" l="1"/>
  <c r="F71" i="13"/>
  <c r="G13" i="13"/>
  <c r="F67" i="13"/>
  <c r="G67" i="13" s="1"/>
  <c r="H67" i="13" s="1"/>
  <c r="I67" i="13" s="1"/>
  <c r="H34" i="13" l="1"/>
  <c r="G71" i="13"/>
  <c r="H13" i="13"/>
  <c r="H68" i="12"/>
  <c r="G68" i="12"/>
  <c r="I68" i="12" s="1"/>
  <c r="K68" i="12" s="1"/>
  <c r="J67" i="13"/>
  <c r="I34" i="13" l="1"/>
  <c r="H71" i="13"/>
  <c r="I13" i="13"/>
  <c r="P68" i="12"/>
  <c r="J68" i="12"/>
  <c r="L68" i="12" s="1"/>
  <c r="N68" i="12" s="1"/>
  <c r="M68" i="12"/>
  <c r="O68" i="12" s="1"/>
  <c r="I71" i="13" l="1"/>
  <c r="J2" i="10" l="1"/>
  <c r="J1" i="13" l="1"/>
  <c r="J2" i="13" l="1"/>
  <c r="J1" i="10" l="1"/>
  <c r="C4" i="10" s="1"/>
  <c r="C3" i="10" l="1"/>
  <c r="C5" i="10"/>
  <c r="AE6" i="13"/>
  <c r="P56" i="10" l="1"/>
  <c r="O56" i="10"/>
  <c r="P56" i="12"/>
  <c r="O56" i="12"/>
  <c r="C3" i="13" l="1"/>
  <c r="D14" i="13"/>
  <c r="D16" i="13"/>
  <c r="E16" i="13" s="1"/>
  <c r="D18" i="13"/>
  <c r="E18" i="13" s="1"/>
  <c r="D20" i="13"/>
  <c r="E20" i="13" s="1"/>
  <c r="D22" i="13"/>
  <c r="E22" i="13" s="1"/>
  <c r="D24" i="13"/>
  <c r="E24" i="13" s="1"/>
  <c r="D31" i="13"/>
  <c r="E31" i="13" s="1"/>
  <c r="D33" i="13"/>
  <c r="E33" i="13" s="1"/>
  <c r="D35" i="13"/>
  <c r="D39" i="13"/>
  <c r="E39" i="13" s="1"/>
  <c r="D43" i="13"/>
  <c r="E43" i="13" s="1"/>
  <c r="D45" i="13"/>
  <c r="E45" i="13" s="1"/>
  <c r="J13" i="13"/>
  <c r="F15" i="13"/>
  <c r="F17" i="13"/>
  <c r="F19" i="13"/>
  <c r="F21" i="13"/>
  <c r="F23" i="13"/>
  <c r="F30" i="13"/>
  <c r="F32" i="13"/>
  <c r="F82" i="13"/>
  <c r="F38" i="13"/>
  <c r="F42" i="13"/>
  <c r="F44" i="13"/>
  <c r="F57" i="13"/>
  <c r="G57" i="13" s="1"/>
  <c r="F58" i="13"/>
  <c r="G58" i="13" s="1"/>
  <c r="H58" i="13" s="1"/>
  <c r="F63" i="13"/>
  <c r="F64" i="13"/>
  <c r="F65" i="13"/>
  <c r="G65" i="13" s="1"/>
  <c r="H65" i="13" s="1"/>
  <c r="I65" i="13" s="1"/>
  <c r="F66" i="13"/>
  <c r="G66" i="13" s="1"/>
  <c r="H66" i="13" s="1"/>
  <c r="J55" i="13"/>
  <c r="AE5" i="13"/>
  <c r="AE4" i="13"/>
  <c r="H14" i="10"/>
  <c r="G14" i="10"/>
  <c r="F28" i="12"/>
  <c r="H67" i="12"/>
  <c r="G67" i="12"/>
  <c r="I67" i="12" s="1"/>
  <c r="K67" i="12" s="1"/>
  <c r="M67" i="12" s="1"/>
  <c r="H66" i="12"/>
  <c r="G66" i="12"/>
  <c r="H65" i="12"/>
  <c r="G65" i="12"/>
  <c r="H64" i="12"/>
  <c r="G64" i="12"/>
  <c r="H61" i="12"/>
  <c r="G61" i="12"/>
  <c r="I61" i="12" s="1"/>
  <c r="K61" i="12" s="1"/>
  <c r="M61" i="12" s="1"/>
  <c r="H59" i="12"/>
  <c r="G59" i="12"/>
  <c r="I59" i="12" s="1"/>
  <c r="K59" i="12" s="1"/>
  <c r="M59" i="12" s="1"/>
  <c r="H58" i="12"/>
  <c r="G58" i="12"/>
  <c r="D46" i="12"/>
  <c r="E46" i="12" s="1"/>
  <c r="H45" i="12"/>
  <c r="H46" i="12" s="1"/>
  <c r="G45" i="12"/>
  <c r="D44" i="12"/>
  <c r="E44" i="12" s="1"/>
  <c r="H43" i="12"/>
  <c r="H44" i="12" s="1"/>
  <c r="G43" i="12"/>
  <c r="D40" i="12"/>
  <c r="E40" i="12" s="1"/>
  <c r="H39" i="12"/>
  <c r="H40" i="12" s="1"/>
  <c r="G39" i="12"/>
  <c r="G40" i="12" s="1"/>
  <c r="D36" i="12"/>
  <c r="E36" i="12" s="1"/>
  <c r="G35" i="12"/>
  <c r="D34" i="12"/>
  <c r="E34" i="12" s="1"/>
  <c r="H33" i="12"/>
  <c r="H34" i="12" s="1"/>
  <c r="G33" i="12"/>
  <c r="D32" i="12"/>
  <c r="E32" i="12" s="1"/>
  <c r="H31" i="12"/>
  <c r="G31" i="12"/>
  <c r="D25" i="12"/>
  <c r="E25" i="12" s="1"/>
  <c r="H24" i="12"/>
  <c r="H25" i="12" s="1"/>
  <c r="G24" i="12"/>
  <c r="D23" i="12"/>
  <c r="E23" i="12" s="1"/>
  <c r="H22" i="12"/>
  <c r="H23" i="12" s="1"/>
  <c r="G22" i="12"/>
  <c r="D21" i="12"/>
  <c r="E21" i="12" s="1"/>
  <c r="H20" i="12"/>
  <c r="H21" i="12" s="1"/>
  <c r="G20" i="12"/>
  <c r="D19" i="12"/>
  <c r="E19" i="12" s="1"/>
  <c r="H18" i="12"/>
  <c r="H19" i="12" s="1"/>
  <c r="G18" i="12"/>
  <c r="D17" i="12"/>
  <c r="E17" i="12" s="1"/>
  <c r="H16" i="12"/>
  <c r="H17" i="12" s="1"/>
  <c r="G16" i="12"/>
  <c r="D15" i="12"/>
  <c r="E15" i="12" s="1"/>
  <c r="H14" i="12"/>
  <c r="H15" i="12" s="1"/>
  <c r="G14" i="12"/>
  <c r="C4" i="12"/>
  <c r="H65" i="10"/>
  <c r="J65" i="10" s="1"/>
  <c r="L65" i="10" s="1"/>
  <c r="N65" i="10" s="1"/>
  <c r="H64" i="10"/>
  <c r="H59" i="10"/>
  <c r="J59" i="10" s="1"/>
  <c r="L59" i="10" s="1"/>
  <c r="N59" i="10" s="1"/>
  <c r="H58" i="10"/>
  <c r="H45" i="10"/>
  <c r="H43" i="10"/>
  <c r="H39" i="10"/>
  <c r="H35" i="10"/>
  <c r="H33" i="10"/>
  <c r="H31" i="10"/>
  <c r="H24" i="10"/>
  <c r="H22" i="10"/>
  <c r="H20" i="10"/>
  <c r="H18" i="10"/>
  <c r="H16" i="10"/>
  <c r="B89" i="10"/>
  <c r="G65" i="10"/>
  <c r="I65" i="10" s="1"/>
  <c r="K65" i="10" s="1"/>
  <c r="M65" i="10" s="1"/>
  <c r="G64" i="10"/>
  <c r="G59" i="10"/>
  <c r="G58" i="10"/>
  <c r="I58" i="10" s="1"/>
  <c r="D46" i="10"/>
  <c r="G45" i="10"/>
  <c r="D44" i="10"/>
  <c r="G43" i="10"/>
  <c r="D40" i="10"/>
  <c r="G39" i="10"/>
  <c r="D36" i="10"/>
  <c r="G35" i="10"/>
  <c r="D34" i="10"/>
  <c r="G33" i="10"/>
  <c r="D32" i="10"/>
  <c r="G31" i="10"/>
  <c r="D25" i="10"/>
  <c r="G24" i="10"/>
  <c r="D23" i="10"/>
  <c r="G22" i="10"/>
  <c r="D21" i="10"/>
  <c r="G20" i="10"/>
  <c r="D19" i="10"/>
  <c r="G18" i="10"/>
  <c r="D17" i="10"/>
  <c r="G16" i="10"/>
  <c r="D15" i="10"/>
  <c r="E94" i="13" l="1"/>
  <c r="H94" i="13"/>
  <c r="I94" i="13"/>
  <c r="G94" i="13"/>
  <c r="J94" i="13"/>
  <c r="F94" i="13"/>
  <c r="G17" i="12"/>
  <c r="H17" i="10"/>
  <c r="G21" i="10"/>
  <c r="C3" i="12"/>
  <c r="B89" i="12" s="1"/>
  <c r="P97" i="12"/>
  <c r="L97" i="12"/>
  <c r="O97" i="12"/>
  <c r="M97" i="12"/>
  <c r="F97" i="12"/>
  <c r="N97" i="12"/>
  <c r="K97" i="12"/>
  <c r="G97" i="12"/>
  <c r="E97" i="12"/>
  <c r="H97" i="12"/>
  <c r="I97" i="12"/>
  <c r="J97" i="12"/>
  <c r="G34" i="10"/>
  <c r="H25" i="10"/>
  <c r="G46" i="10"/>
  <c r="G25" i="12"/>
  <c r="F39" i="13"/>
  <c r="F16" i="13"/>
  <c r="G32" i="12"/>
  <c r="G17" i="10"/>
  <c r="H44" i="10"/>
  <c r="H19" i="10"/>
  <c r="F45" i="13"/>
  <c r="F20" i="13"/>
  <c r="G27" i="12"/>
  <c r="G15" i="12"/>
  <c r="G74" i="12"/>
  <c r="G85" i="12" s="1"/>
  <c r="G36" i="12"/>
  <c r="G21" i="12"/>
  <c r="H74" i="12"/>
  <c r="H85" i="12" s="1"/>
  <c r="H49" i="12"/>
  <c r="G46" i="12"/>
  <c r="I22" i="12"/>
  <c r="I23" i="12" s="1"/>
  <c r="G23" i="12"/>
  <c r="G34" i="12"/>
  <c r="G19" i="12"/>
  <c r="G44" i="12"/>
  <c r="E19" i="10"/>
  <c r="F19" i="10"/>
  <c r="E32" i="10"/>
  <c r="F32" i="10"/>
  <c r="E44" i="10"/>
  <c r="F44" i="10"/>
  <c r="H40" i="10"/>
  <c r="F21" i="10"/>
  <c r="E21" i="10"/>
  <c r="F34" i="10"/>
  <c r="E34" i="10"/>
  <c r="F46" i="10"/>
  <c r="E46" i="10"/>
  <c r="H21" i="10"/>
  <c r="H46" i="10"/>
  <c r="G23" i="10"/>
  <c r="H23" i="10"/>
  <c r="E15" i="10"/>
  <c r="F15" i="10"/>
  <c r="G15" i="10"/>
  <c r="G25" i="10"/>
  <c r="G40" i="10"/>
  <c r="I64" i="10"/>
  <c r="H48" i="10"/>
  <c r="H32" i="10"/>
  <c r="H27" i="10"/>
  <c r="H15" i="10"/>
  <c r="F36" i="10"/>
  <c r="E36" i="10"/>
  <c r="F17" i="10"/>
  <c r="E17" i="10"/>
  <c r="F25" i="10"/>
  <c r="E25" i="10"/>
  <c r="F40" i="10"/>
  <c r="E40" i="10"/>
  <c r="H34" i="10"/>
  <c r="F23" i="10"/>
  <c r="E23" i="10"/>
  <c r="G19" i="10"/>
  <c r="G48" i="10"/>
  <c r="G32" i="10"/>
  <c r="G44" i="10"/>
  <c r="G42" i="13"/>
  <c r="F43" i="13"/>
  <c r="G32" i="13"/>
  <c r="F33" i="13"/>
  <c r="F31" i="13"/>
  <c r="G17" i="13"/>
  <c r="G18" i="13" s="1"/>
  <c r="F18" i="13"/>
  <c r="G23" i="13"/>
  <c r="G24" i="13" s="1"/>
  <c r="F24" i="13"/>
  <c r="G21" i="13"/>
  <c r="G22" i="13" s="1"/>
  <c r="F22" i="13"/>
  <c r="E35" i="13"/>
  <c r="F35" i="13"/>
  <c r="G35" i="13"/>
  <c r="H35" i="13"/>
  <c r="I35" i="13"/>
  <c r="E14" i="13"/>
  <c r="F14" i="13"/>
  <c r="G14" i="13"/>
  <c r="H14" i="13"/>
  <c r="I14" i="13"/>
  <c r="H74" i="10"/>
  <c r="H86" i="10" s="1"/>
  <c r="H36" i="10"/>
  <c r="G74" i="10"/>
  <c r="G85" i="10" s="1"/>
  <c r="G36" i="10"/>
  <c r="H27" i="12"/>
  <c r="H28" i="12"/>
  <c r="G48" i="12"/>
  <c r="J45" i="12"/>
  <c r="J46" i="12" s="1"/>
  <c r="H48" i="12"/>
  <c r="F85" i="10"/>
  <c r="P84" i="10"/>
  <c r="G27" i="10"/>
  <c r="G38" i="13"/>
  <c r="G39" i="13" s="1"/>
  <c r="F26" i="13"/>
  <c r="F47" i="13"/>
  <c r="G64" i="13"/>
  <c r="F83" i="13"/>
  <c r="G30" i="13"/>
  <c r="G31" i="13" s="1"/>
  <c r="E49" i="12"/>
  <c r="J64" i="10"/>
  <c r="E52" i="12"/>
  <c r="E82" i="13"/>
  <c r="F50" i="12"/>
  <c r="O59" i="12"/>
  <c r="I39" i="12"/>
  <c r="I40" i="12" s="1"/>
  <c r="I58" i="12"/>
  <c r="J64" i="12"/>
  <c r="L64" i="12" s="1"/>
  <c r="N64" i="12" s="1"/>
  <c r="J66" i="12"/>
  <c r="L66" i="12" s="1"/>
  <c r="N66" i="12" s="1"/>
  <c r="I16" i="12"/>
  <c r="I24" i="12"/>
  <c r="J39" i="12"/>
  <c r="J40" i="12" s="1"/>
  <c r="J58" i="12"/>
  <c r="O61" i="12"/>
  <c r="I65" i="12"/>
  <c r="O67" i="12"/>
  <c r="I14" i="12"/>
  <c r="I15" i="12" s="1"/>
  <c r="J16" i="12"/>
  <c r="J17" i="12" s="1"/>
  <c r="I33" i="12"/>
  <c r="I45" i="12"/>
  <c r="I46" i="12" s="1"/>
  <c r="J61" i="12"/>
  <c r="J65" i="12"/>
  <c r="J67" i="12"/>
  <c r="L67" i="12" s="1"/>
  <c r="N67" i="12" s="1"/>
  <c r="I31" i="12"/>
  <c r="I32" i="12" s="1"/>
  <c r="I43" i="12"/>
  <c r="I44" i="12" s="1"/>
  <c r="F52" i="12"/>
  <c r="I64" i="12"/>
  <c r="K64" i="12" s="1"/>
  <c r="M64" i="12" s="1"/>
  <c r="I66" i="12"/>
  <c r="G82" i="13"/>
  <c r="E51" i="13"/>
  <c r="O70" i="12"/>
  <c r="G44" i="13"/>
  <c r="G45" i="13" s="1"/>
  <c r="I39" i="10"/>
  <c r="I40" i="10" s="1"/>
  <c r="J22" i="10"/>
  <c r="I59" i="10"/>
  <c r="K59" i="10" s="1"/>
  <c r="M59" i="10" s="1"/>
  <c r="O65" i="10"/>
  <c r="E86" i="10"/>
  <c r="P59" i="10"/>
  <c r="J18" i="10"/>
  <c r="J43" i="10"/>
  <c r="J44" i="10" s="1"/>
  <c r="F52" i="10"/>
  <c r="E52" i="10"/>
  <c r="J14" i="10"/>
  <c r="J15" i="10" s="1"/>
  <c r="H57" i="13"/>
  <c r="I57" i="13" s="1"/>
  <c r="G15" i="13"/>
  <c r="G16" i="13" s="1"/>
  <c r="L45" i="12"/>
  <c r="L46" i="12" s="1"/>
  <c r="J35" i="12"/>
  <c r="I66" i="13"/>
  <c r="J66" i="13" s="1"/>
  <c r="I58" i="13"/>
  <c r="J58" i="13" s="1"/>
  <c r="J65" i="13"/>
  <c r="G19" i="13"/>
  <c r="G20" i="13" s="1"/>
  <c r="J60" i="13"/>
  <c r="J35" i="10"/>
  <c r="I22" i="10"/>
  <c r="I23" i="10" s="1"/>
  <c r="I43" i="10"/>
  <c r="I44" i="10" s="1"/>
  <c r="I31" i="10"/>
  <c r="I32" i="10" s="1"/>
  <c r="J31" i="10"/>
  <c r="J18" i="12"/>
  <c r="J19" i="12" s="1"/>
  <c r="P69" i="12"/>
  <c r="I35" i="12"/>
  <c r="J33" i="12"/>
  <c r="J34" i="12" s="1"/>
  <c r="J59" i="12"/>
  <c r="L59" i="12" s="1"/>
  <c r="N59" i="12" s="1"/>
  <c r="J24" i="12"/>
  <c r="J25" i="12" s="1"/>
  <c r="J22" i="12"/>
  <c r="J23" i="12" s="1"/>
  <c r="J31" i="12"/>
  <c r="J32" i="12" s="1"/>
  <c r="J14" i="12"/>
  <c r="J15" i="12" s="1"/>
  <c r="K22" i="12"/>
  <c r="K23" i="12" s="1"/>
  <c r="I20" i="12"/>
  <c r="I21" i="12" s="1"/>
  <c r="J43" i="12"/>
  <c r="J44" i="12" s="1"/>
  <c r="I18" i="12"/>
  <c r="I19" i="12" s="1"/>
  <c r="J20" i="12"/>
  <c r="J21" i="12" s="1"/>
  <c r="P65" i="10"/>
  <c r="J20" i="10"/>
  <c r="J21" i="10" s="1"/>
  <c r="J33" i="10"/>
  <c r="J34" i="10" s="1"/>
  <c r="J45" i="10"/>
  <c r="J46" i="10" s="1"/>
  <c r="I18" i="10"/>
  <c r="I19" i="10" s="1"/>
  <c r="I20" i="10"/>
  <c r="I21" i="10" s="1"/>
  <c r="I35" i="10"/>
  <c r="J16" i="10"/>
  <c r="J17" i="10" s="1"/>
  <c r="J24" i="10"/>
  <c r="J25" i="10" s="1"/>
  <c r="J39" i="10"/>
  <c r="J40" i="10" s="1"/>
  <c r="I33" i="10"/>
  <c r="I34" i="10" s="1"/>
  <c r="K58" i="10"/>
  <c r="M58" i="10" s="1"/>
  <c r="I14" i="10"/>
  <c r="I15" i="10" s="1"/>
  <c r="I16" i="10"/>
  <c r="I17" i="10" s="1"/>
  <c r="I24" i="10"/>
  <c r="I25" i="10" s="1"/>
  <c r="I45" i="10"/>
  <c r="I46" i="10" s="1"/>
  <c r="J58" i="10"/>
  <c r="L58" i="10" s="1"/>
  <c r="N58" i="10" s="1"/>
  <c r="F86" i="10"/>
  <c r="G63" i="13"/>
  <c r="J36" i="12" l="1"/>
  <c r="L35" i="12"/>
  <c r="L36" i="12" s="1"/>
  <c r="G86" i="12"/>
  <c r="G86" i="10"/>
  <c r="H30" i="13"/>
  <c r="H31" i="13" s="1"/>
  <c r="K16" i="12"/>
  <c r="I17" i="12"/>
  <c r="I28" i="12" s="1"/>
  <c r="J74" i="12"/>
  <c r="J85" i="12" s="1"/>
  <c r="K43" i="12"/>
  <c r="K44" i="12" s="1"/>
  <c r="I74" i="12"/>
  <c r="I85" i="12" s="1"/>
  <c r="I36" i="12"/>
  <c r="K33" i="12"/>
  <c r="K34" i="12" s="1"/>
  <c r="I34" i="12"/>
  <c r="K24" i="12"/>
  <c r="I25" i="12"/>
  <c r="K64" i="10"/>
  <c r="G49" i="10"/>
  <c r="G50" i="10" s="1"/>
  <c r="L22" i="10"/>
  <c r="J23" i="10"/>
  <c r="J48" i="10"/>
  <c r="J32" i="10"/>
  <c r="L18" i="10"/>
  <c r="J19" i="10"/>
  <c r="H17" i="13"/>
  <c r="H18" i="13" s="1"/>
  <c r="H21" i="13"/>
  <c r="H22" i="13" s="1"/>
  <c r="H23" i="13"/>
  <c r="H24" i="13" s="1"/>
  <c r="H32" i="13"/>
  <c r="G33" i="13"/>
  <c r="H42" i="13"/>
  <c r="G43" i="13"/>
  <c r="H85" i="10"/>
  <c r="J74" i="10"/>
  <c r="J85" i="10" s="1"/>
  <c r="J36" i="10"/>
  <c r="J49" i="10" s="1"/>
  <c r="I74" i="10"/>
  <c r="I85" i="10" s="1"/>
  <c r="I36" i="10"/>
  <c r="I49" i="10" s="1"/>
  <c r="H86" i="12"/>
  <c r="K45" i="12"/>
  <c r="K46" i="12" s="1"/>
  <c r="J27" i="12"/>
  <c r="I27" i="12"/>
  <c r="G28" i="12"/>
  <c r="I48" i="12"/>
  <c r="G49" i="12"/>
  <c r="G50" i="12" s="1"/>
  <c r="E28" i="12"/>
  <c r="J48" i="12"/>
  <c r="L22" i="12"/>
  <c r="L23" i="12" s="1"/>
  <c r="I28" i="10"/>
  <c r="F28" i="10"/>
  <c r="E49" i="10"/>
  <c r="E28" i="10"/>
  <c r="J27" i="10"/>
  <c r="H28" i="10"/>
  <c r="F49" i="10"/>
  <c r="F50" i="10" s="1"/>
  <c r="I48" i="10"/>
  <c r="I27" i="10"/>
  <c r="H49" i="10"/>
  <c r="G28" i="10"/>
  <c r="E27" i="13"/>
  <c r="G27" i="13"/>
  <c r="E48" i="13"/>
  <c r="F27" i="13"/>
  <c r="F28" i="13" s="1"/>
  <c r="G26" i="13"/>
  <c r="F48" i="13"/>
  <c r="G47" i="13"/>
  <c r="H38" i="13"/>
  <c r="H39" i="13" s="1"/>
  <c r="L65" i="12"/>
  <c r="K65" i="12"/>
  <c r="M33" i="12"/>
  <c r="M34" i="12" s="1"/>
  <c r="H64" i="13"/>
  <c r="G83" i="13"/>
  <c r="L64" i="10"/>
  <c r="K31" i="12"/>
  <c r="K32" i="12" s="1"/>
  <c r="H29" i="12"/>
  <c r="K14" i="12"/>
  <c r="K15" i="12" s="1"/>
  <c r="L58" i="12"/>
  <c r="K58" i="12"/>
  <c r="L16" i="12"/>
  <c r="L17" i="12" s="1"/>
  <c r="L35" i="10"/>
  <c r="L36" i="10" s="1"/>
  <c r="F51" i="13"/>
  <c r="K39" i="10"/>
  <c r="K40" i="10" s="1"/>
  <c r="O64" i="12"/>
  <c r="P67" i="12"/>
  <c r="H52" i="12"/>
  <c r="L61" i="12"/>
  <c r="N61" i="12" s="1"/>
  <c r="N45" i="12"/>
  <c r="N46" i="12" s="1"/>
  <c r="K66" i="12"/>
  <c r="M66" i="12" s="1"/>
  <c r="P59" i="12"/>
  <c r="P66" i="12"/>
  <c r="F53" i="12"/>
  <c r="F54" i="12" s="1"/>
  <c r="F29" i="12"/>
  <c r="K39" i="12"/>
  <c r="K40" i="12" s="1"/>
  <c r="L39" i="12"/>
  <c r="L40" i="12" s="1"/>
  <c r="P64" i="12"/>
  <c r="O61" i="10"/>
  <c r="O59" i="10"/>
  <c r="J57" i="13"/>
  <c r="H82" i="13"/>
  <c r="L14" i="10"/>
  <c r="L15" i="10" s="1"/>
  <c r="P70" i="12"/>
  <c r="H44" i="13"/>
  <c r="H45" i="13" s="1"/>
  <c r="H52" i="10"/>
  <c r="P61" i="10"/>
  <c r="P58" i="10"/>
  <c r="L43" i="10"/>
  <c r="L44" i="10" s="1"/>
  <c r="O58" i="10"/>
  <c r="O69" i="12"/>
  <c r="I23" i="13"/>
  <c r="I24" i="13" s="1"/>
  <c r="H15" i="13"/>
  <c r="H16" i="13" s="1"/>
  <c r="L33" i="12"/>
  <c r="L34" i="12" s="1"/>
  <c r="L31" i="10"/>
  <c r="L32" i="10" s="1"/>
  <c r="J14" i="13"/>
  <c r="I17" i="13"/>
  <c r="I18" i="13" s="1"/>
  <c r="H19" i="13"/>
  <c r="H20" i="13" s="1"/>
  <c r="I30" i="13"/>
  <c r="I31" i="13" s="1"/>
  <c r="K22" i="10"/>
  <c r="K23" i="10" s="1"/>
  <c r="K31" i="10"/>
  <c r="K32" i="10" s="1"/>
  <c r="K43" i="10"/>
  <c r="K44" i="10" s="1"/>
  <c r="L18" i="12"/>
  <c r="L19" i="12" s="1"/>
  <c r="L24" i="12"/>
  <c r="L25" i="12" s="1"/>
  <c r="K35" i="12"/>
  <c r="K36" i="12" s="1"/>
  <c r="L14" i="12"/>
  <c r="L15" i="12" s="1"/>
  <c r="L31" i="12"/>
  <c r="L32" i="12" s="1"/>
  <c r="K20" i="12"/>
  <c r="K21" i="12" s="1"/>
  <c r="K18" i="12"/>
  <c r="K19" i="12" s="1"/>
  <c r="G52" i="12"/>
  <c r="N16" i="12"/>
  <c r="N17" i="12" s="1"/>
  <c r="M22" i="12"/>
  <c r="M23" i="12" s="1"/>
  <c r="L20" i="12"/>
  <c r="L21" i="12" s="1"/>
  <c r="L43" i="12"/>
  <c r="L44" i="12" s="1"/>
  <c r="K45" i="10"/>
  <c r="K46" i="10" s="1"/>
  <c r="K24" i="10"/>
  <c r="K25" i="10" s="1"/>
  <c r="K14" i="10"/>
  <c r="K15" i="10" s="1"/>
  <c r="K33" i="10"/>
  <c r="K34" i="10" s="1"/>
  <c r="K20" i="10"/>
  <c r="K21" i="10" s="1"/>
  <c r="L24" i="10"/>
  <c r="L25" i="10" s="1"/>
  <c r="K35" i="10"/>
  <c r="K36" i="10" s="1"/>
  <c r="L33" i="10"/>
  <c r="L34" i="10" s="1"/>
  <c r="L39" i="10"/>
  <c r="L40" i="10" s="1"/>
  <c r="L16" i="10"/>
  <c r="L17" i="10" s="1"/>
  <c r="L45" i="10"/>
  <c r="L46" i="10" s="1"/>
  <c r="L20" i="10"/>
  <c r="L21" i="10" s="1"/>
  <c r="K16" i="10"/>
  <c r="K17" i="10" s="1"/>
  <c r="G52" i="10"/>
  <c r="K18" i="10"/>
  <c r="K19" i="10" s="1"/>
  <c r="H63" i="13"/>
  <c r="I49" i="12" l="1"/>
  <c r="I50" i="12" s="1"/>
  <c r="O34" i="12"/>
  <c r="J28" i="10"/>
  <c r="I86" i="12"/>
  <c r="M43" i="12"/>
  <c r="M44" i="12" s="1"/>
  <c r="O44" i="12" s="1"/>
  <c r="O33" i="12"/>
  <c r="I21" i="13"/>
  <c r="I22" i="13" s="1"/>
  <c r="J22" i="13" s="1"/>
  <c r="L74" i="12"/>
  <c r="L85" i="12" s="1"/>
  <c r="M24" i="12"/>
  <c r="K25" i="12"/>
  <c r="M16" i="12"/>
  <c r="K17" i="12"/>
  <c r="N22" i="10"/>
  <c r="L23" i="10"/>
  <c r="J86" i="10"/>
  <c r="I86" i="10"/>
  <c r="N18" i="10"/>
  <c r="L19" i="10"/>
  <c r="M64" i="10"/>
  <c r="H43" i="13"/>
  <c r="I42" i="13"/>
  <c r="H33" i="13"/>
  <c r="I32" i="13"/>
  <c r="I47" i="13" s="1"/>
  <c r="J52" i="12"/>
  <c r="G51" i="13"/>
  <c r="E52" i="13"/>
  <c r="E53" i="13" s="1"/>
  <c r="E85" i="13" s="1"/>
  <c r="E86" i="13" s="1"/>
  <c r="H47" i="13"/>
  <c r="J28" i="12"/>
  <c r="J49" i="12"/>
  <c r="K74" i="12"/>
  <c r="K85" i="12" s="1"/>
  <c r="P16" i="12"/>
  <c r="K27" i="12"/>
  <c r="J86" i="12"/>
  <c r="P46" i="12"/>
  <c r="N22" i="12"/>
  <c r="K48" i="12"/>
  <c r="L48" i="12"/>
  <c r="M45" i="12"/>
  <c r="M46" i="12" s="1"/>
  <c r="L27" i="12"/>
  <c r="L28" i="12"/>
  <c r="O22" i="12"/>
  <c r="K74" i="10"/>
  <c r="K85" i="10" s="1"/>
  <c r="L74" i="10"/>
  <c r="L85" i="10" s="1"/>
  <c r="N35" i="10"/>
  <c r="N36" i="10" s="1"/>
  <c r="N14" i="10"/>
  <c r="N15" i="10" s="1"/>
  <c r="L27" i="10"/>
  <c r="K27" i="10"/>
  <c r="K28" i="10"/>
  <c r="K48" i="10"/>
  <c r="N31" i="10"/>
  <c r="N32" i="10" s="1"/>
  <c r="L48" i="10"/>
  <c r="N43" i="10"/>
  <c r="N44" i="10" s="1"/>
  <c r="P44" i="10" s="1"/>
  <c r="E49" i="13"/>
  <c r="G48" i="13"/>
  <c r="G49" i="13" s="1"/>
  <c r="I38" i="13"/>
  <c r="I39" i="13" s="1"/>
  <c r="J39" i="13" s="1"/>
  <c r="H26" i="13"/>
  <c r="H27" i="13"/>
  <c r="M65" i="12"/>
  <c r="N65" i="12"/>
  <c r="K49" i="12"/>
  <c r="I64" i="13"/>
  <c r="H83" i="13"/>
  <c r="N64" i="10"/>
  <c r="H53" i="12"/>
  <c r="H54" i="12" s="1"/>
  <c r="H88" i="12" s="1"/>
  <c r="M39" i="12"/>
  <c r="M40" i="12" s="1"/>
  <c r="F88" i="12"/>
  <c r="M14" i="12"/>
  <c r="M15" i="12" s="1"/>
  <c r="M31" i="12"/>
  <c r="M32" i="12" s="1"/>
  <c r="M58" i="12"/>
  <c r="N58" i="12"/>
  <c r="M39" i="10"/>
  <c r="M40" i="10" s="1"/>
  <c r="P45" i="12"/>
  <c r="P61" i="12"/>
  <c r="N39" i="12"/>
  <c r="N40" i="12" s="1"/>
  <c r="O66" i="12"/>
  <c r="H50" i="12"/>
  <c r="P22" i="12"/>
  <c r="O43" i="12"/>
  <c r="G53" i="10"/>
  <c r="G54" i="10" s="1"/>
  <c r="G88" i="10" s="1"/>
  <c r="G89" i="10" s="1"/>
  <c r="J29" i="10"/>
  <c r="P43" i="10"/>
  <c r="F52" i="13"/>
  <c r="F53" i="13" s="1"/>
  <c r="F85" i="13" s="1"/>
  <c r="F86" i="13" s="1"/>
  <c r="J34" i="13"/>
  <c r="P14" i="10"/>
  <c r="I44" i="13"/>
  <c r="I45" i="13" s="1"/>
  <c r="J24" i="13"/>
  <c r="J21" i="13"/>
  <c r="J23" i="13"/>
  <c r="E28" i="13"/>
  <c r="I15" i="13"/>
  <c r="I16" i="13" s="1"/>
  <c r="N35" i="12"/>
  <c r="N36" i="12" s="1"/>
  <c r="N33" i="12"/>
  <c r="N34" i="12" s="1"/>
  <c r="G53" i="12"/>
  <c r="G54" i="12" s="1"/>
  <c r="J18" i="13"/>
  <c r="I19" i="13"/>
  <c r="I20" i="13" s="1"/>
  <c r="J30" i="13"/>
  <c r="J17" i="13"/>
  <c r="M31" i="10"/>
  <c r="M32" i="10" s="1"/>
  <c r="M43" i="10"/>
  <c r="M44" i="10" s="1"/>
  <c r="I29" i="10"/>
  <c r="M22" i="10"/>
  <c r="M23" i="10" s="1"/>
  <c r="N18" i="12"/>
  <c r="N19" i="12" s="1"/>
  <c r="M35" i="12"/>
  <c r="M36" i="12" s="1"/>
  <c r="N24" i="12"/>
  <c r="N25" i="12" s="1"/>
  <c r="G29" i="12"/>
  <c r="N31" i="12"/>
  <c r="N32" i="12" s="1"/>
  <c r="N14" i="12"/>
  <c r="N15" i="12" s="1"/>
  <c r="E53" i="12"/>
  <c r="E29" i="12"/>
  <c r="P17" i="12"/>
  <c r="M18" i="12"/>
  <c r="M19" i="12" s="1"/>
  <c r="M20" i="12"/>
  <c r="M21" i="12" s="1"/>
  <c r="O23" i="12"/>
  <c r="I52" i="12"/>
  <c r="N43" i="12"/>
  <c r="N44" i="12" s="1"/>
  <c r="N20" i="12"/>
  <c r="N21" i="12" s="1"/>
  <c r="E50" i="12"/>
  <c r="M45" i="10"/>
  <c r="M46" i="10" s="1"/>
  <c r="H50" i="10"/>
  <c r="M16" i="10"/>
  <c r="M17" i="10" s="1"/>
  <c r="N20" i="10"/>
  <c r="N21" i="10" s="1"/>
  <c r="N39" i="10"/>
  <c r="N40" i="10" s="1"/>
  <c r="N33" i="10"/>
  <c r="N34" i="10" s="1"/>
  <c r="M20" i="10"/>
  <c r="M21" i="10" s="1"/>
  <c r="J52" i="10"/>
  <c r="M18" i="10"/>
  <c r="M19" i="10" s="1"/>
  <c r="G29" i="10"/>
  <c r="H53" i="10"/>
  <c r="H54" i="10" s="1"/>
  <c r="H88" i="10" s="1"/>
  <c r="H89" i="10" s="1"/>
  <c r="H29" i="10"/>
  <c r="M14" i="10"/>
  <c r="M15" i="10" s="1"/>
  <c r="M24" i="10"/>
  <c r="M25" i="10" s="1"/>
  <c r="M35" i="10"/>
  <c r="M36" i="10" s="1"/>
  <c r="E50" i="10"/>
  <c r="F53" i="10"/>
  <c r="F29" i="10"/>
  <c r="N45" i="10"/>
  <c r="N46" i="10" s="1"/>
  <c r="N16" i="10"/>
  <c r="N17" i="10" s="1"/>
  <c r="N24" i="10"/>
  <c r="N25" i="10" s="1"/>
  <c r="M33" i="10"/>
  <c r="M34" i="10" s="1"/>
  <c r="I52" i="10"/>
  <c r="E53" i="10"/>
  <c r="E29" i="10"/>
  <c r="I63" i="13"/>
  <c r="F49" i="13"/>
  <c r="L28" i="10" l="1"/>
  <c r="H91" i="12"/>
  <c r="H93" i="12" s="1"/>
  <c r="H89" i="12"/>
  <c r="F91" i="12"/>
  <c r="F93" i="12" s="1"/>
  <c r="F89" i="12"/>
  <c r="K28" i="12"/>
  <c r="P35" i="10"/>
  <c r="Q44" i="10"/>
  <c r="N74" i="12"/>
  <c r="N85" i="12" s="1"/>
  <c r="P85" i="12" s="1"/>
  <c r="M17" i="12"/>
  <c r="O17" i="12" s="1"/>
  <c r="O16" i="12"/>
  <c r="M25" i="12"/>
  <c r="M28" i="12" s="1"/>
  <c r="O24" i="12"/>
  <c r="N23" i="12"/>
  <c r="P23" i="12" s="1"/>
  <c r="O64" i="10"/>
  <c r="N19" i="10"/>
  <c r="P19" i="10" s="1"/>
  <c r="P18" i="10"/>
  <c r="P31" i="10"/>
  <c r="L86" i="10"/>
  <c r="K86" i="10"/>
  <c r="N23" i="10"/>
  <c r="P23" i="10" s="1"/>
  <c r="P22" i="10"/>
  <c r="I33" i="13"/>
  <c r="J33" i="13" s="1"/>
  <c r="J32" i="13"/>
  <c r="I43" i="13"/>
  <c r="J43" i="13" s="1"/>
  <c r="J42" i="13"/>
  <c r="H91" i="10"/>
  <c r="H98" i="10" s="1"/>
  <c r="H92" i="10"/>
  <c r="K86" i="12"/>
  <c r="F87" i="13"/>
  <c r="E87" i="13"/>
  <c r="G52" i="13"/>
  <c r="G53" i="13" s="1"/>
  <c r="G85" i="13" s="1"/>
  <c r="G86" i="13" s="1"/>
  <c r="J38" i="13"/>
  <c r="L49" i="12"/>
  <c r="L50" i="12" s="1"/>
  <c r="L86" i="12"/>
  <c r="P19" i="12"/>
  <c r="O18" i="12"/>
  <c r="M74" i="12"/>
  <c r="M85" i="12" s="1"/>
  <c r="O85" i="12" s="1"/>
  <c r="P39" i="12"/>
  <c r="P40" i="12"/>
  <c r="P33" i="12"/>
  <c r="N27" i="12"/>
  <c r="P35" i="12"/>
  <c r="N48" i="12"/>
  <c r="P32" i="12"/>
  <c r="O39" i="12"/>
  <c r="M48" i="12"/>
  <c r="O48" i="12" s="1"/>
  <c r="M27" i="12"/>
  <c r="O46" i="12"/>
  <c r="O45" i="12"/>
  <c r="M48" i="10"/>
  <c r="O48" i="10" s="1"/>
  <c r="L49" i="10"/>
  <c r="L50" i="10" s="1"/>
  <c r="N27" i="10"/>
  <c r="P27" i="10" s="1"/>
  <c r="O16" i="10"/>
  <c r="N48" i="10"/>
  <c r="P48" i="10" s="1"/>
  <c r="N49" i="10"/>
  <c r="N74" i="10"/>
  <c r="N85" i="10" s="1"/>
  <c r="P85" i="10" s="1"/>
  <c r="P36" i="10"/>
  <c r="Q36" i="10" s="1"/>
  <c r="O22" i="10"/>
  <c r="O23" i="10"/>
  <c r="P16" i="10"/>
  <c r="K49" i="10"/>
  <c r="K50" i="10" s="1"/>
  <c r="O33" i="10"/>
  <c r="M74" i="10"/>
  <c r="M85" i="10" s="1"/>
  <c r="O85" i="10" s="1"/>
  <c r="O45" i="10"/>
  <c r="O40" i="10"/>
  <c r="O14" i="10"/>
  <c r="M27" i="10"/>
  <c r="O27" i="10" s="1"/>
  <c r="P33" i="10"/>
  <c r="I26" i="13"/>
  <c r="J26" i="13" s="1"/>
  <c r="I27" i="13"/>
  <c r="H48" i="13"/>
  <c r="H49" i="13" s="1"/>
  <c r="P65" i="12"/>
  <c r="O65" i="12"/>
  <c r="J64" i="13"/>
  <c r="I83" i="13"/>
  <c r="P64" i="10"/>
  <c r="K50" i="12"/>
  <c r="O31" i="12"/>
  <c r="L29" i="12"/>
  <c r="O15" i="12"/>
  <c r="O14" i="12"/>
  <c r="P15" i="12"/>
  <c r="P31" i="12"/>
  <c r="O35" i="12"/>
  <c r="G88" i="12"/>
  <c r="G89" i="12" s="1"/>
  <c r="P58" i="12"/>
  <c r="O58" i="12"/>
  <c r="I53" i="12"/>
  <c r="I54" i="12" s="1"/>
  <c r="I88" i="12" s="1"/>
  <c r="I89" i="12" s="1"/>
  <c r="O39" i="10"/>
  <c r="O35" i="10"/>
  <c r="P25" i="12"/>
  <c r="J47" i="13"/>
  <c r="J45" i="13"/>
  <c r="J44" i="13"/>
  <c r="O20" i="12"/>
  <c r="O40" i="12"/>
  <c r="O21" i="10"/>
  <c r="P44" i="12"/>
  <c r="P24" i="12"/>
  <c r="P14" i="12"/>
  <c r="P20" i="12"/>
  <c r="P43" i="12"/>
  <c r="P18" i="12"/>
  <c r="P46" i="10"/>
  <c r="O19" i="10"/>
  <c r="O24" i="10"/>
  <c r="O20" i="10"/>
  <c r="G28" i="13"/>
  <c r="J35" i="13"/>
  <c r="J20" i="13"/>
  <c r="O32" i="10"/>
  <c r="O31" i="10"/>
  <c r="O43" i="10"/>
  <c r="P24" i="10"/>
  <c r="P39" i="10"/>
  <c r="O44" i="10"/>
  <c r="P21" i="10"/>
  <c r="P20" i="10"/>
  <c r="P45" i="10"/>
  <c r="O18" i="10"/>
  <c r="J16" i="13"/>
  <c r="J15" i="13"/>
  <c r="P36" i="12"/>
  <c r="I29" i="12"/>
  <c r="P34" i="12"/>
  <c r="I53" i="10"/>
  <c r="I54" i="10" s="1"/>
  <c r="I88" i="10" s="1"/>
  <c r="I89" i="10" s="1"/>
  <c r="I50" i="10"/>
  <c r="J31" i="13"/>
  <c r="H51" i="13"/>
  <c r="J19" i="13"/>
  <c r="K29" i="10"/>
  <c r="K52" i="12"/>
  <c r="E54" i="12"/>
  <c r="E88" i="12" s="1"/>
  <c r="E89" i="12" s="1"/>
  <c r="J50" i="12"/>
  <c r="P21" i="12"/>
  <c r="O19" i="12"/>
  <c r="O21" i="12"/>
  <c r="L52" i="12"/>
  <c r="J53" i="12"/>
  <c r="J29" i="12"/>
  <c r="J50" i="10"/>
  <c r="O46" i="10"/>
  <c r="E54" i="10"/>
  <c r="E88" i="10" s="1"/>
  <c r="P25" i="10"/>
  <c r="F54" i="10"/>
  <c r="F88" i="10" s="1"/>
  <c r="F89" i="10" s="1"/>
  <c r="O15" i="10"/>
  <c r="P34" i="10"/>
  <c r="J53" i="10"/>
  <c r="J54" i="10" s="1"/>
  <c r="J88" i="10" s="1"/>
  <c r="J89" i="10" s="1"/>
  <c r="L52" i="10"/>
  <c r="O36" i="10"/>
  <c r="K52" i="10"/>
  <c r="O34" i="10"/>
  <c r="P40" i="10"/>
  <c r="J63" i="13"/>
  <c r="E89" i="10" l="1"/>
  <c r="F92" i="10" s="1"/>
  <c r="N28" i="12"/>
  <c r="P28" i="12" s="1"/>
  <c r="Q46" i="10"/>
  <c r="Q21" i="10"/>
  <c r="Q19" i="10"/>
  <c r="Q23" i="10"/>
  <c r="Q40" i="10"/>
  <c r="Q25" i="10"/>
  <c r="Q34" i="10"/>
  <c r="N86" i="10"/>
  <c r="P86" i="10" s="1"/>
  <c r="I48" i="13"/>
  <c r="O25" i="12"/>
  <c r="M86" i="10"/>
  <c r="O86" i="10" s="1"/>
  <c r="F91" i="10"/>
  <c r="F98" i="10" s="1"/>
  <c r="J91" i="10"/>
  <c r="J98" i="10" s="1"/>
  <c r="G91" i="10"/>
  <c r="O74" i="12"/>
  <c r="M86" i="12"/>
  <c r="O74" i="10"/>
  <c r="P74" i="10"/>
  <c r="G87" i="13"/>
  <c r="M49" i="12"/>
  <c r="O49" i="12" s="1"/>
  <c r="N86" i="12"/>
  <c r="P86" i="12" s="1"/>
  <c r="N49" i="12"/>
  <c r="P49" i="12" s="1"/>
  <c r="N28" i="10"/>
  <c r="P28" i="10" s="1"/>
  <c r="P15" i="10"/>
  <c r="Q15" i="10" s="1"/>
  <c r="M28" i="10"/>
  <c r="O28" i="10" s="1"/>
  <c r="P32" i="10"/>
  <c r="Q32" i="10" s="1"/>
  <c r="M49" i="10"/>
  <c r="O49" i="10" s="1"/>
  <c r="O32" i="12"/>
  <c r="I91" i="12"/>
  <c r="E91" i="12"/>
  <c r="G91" i="12"/>
  <c r="I91" i="10"/>
  <c r="O28" i="12"/>
  <c r="J71" i="13"/>
  <c r="I82" i="13"/>
  <c r="J82" i="13" s="1"/>
  <c r="E91" i="10"/>
  <c r="H52" i="13"/>
  <c r="H53" i="13" s="1"/>
  <c r="H85" i="13" s="1"/>
  <c r="H86" i="13" s="1"/>
  <c r="N52" i="12"/>
  <c r="P52" i="12" s="1"/>
  <c r="P48" i="12"/>
  <c r="O27" i="12"/>
  <c r="P74" i="12"/>
  <c r="O36" i="12"/>
  <c r="P27" i="12"/>
  <c r="H28" i="13"/>
  <c r="J83" i="13"/>
  <c r="O17" i="10"/>
  <c r="O25" i="10"/>
  <c r="K53" i="12"/>
  <c r="K54" i="12" s="1"/>
  <c r="K88" i="12" s="1"/>
  <c r="K89" i="12" s="1"/>
  <c r="P17" i="10"/>
  <c r="Q17" i="10" s="1"/>
  <c r="H94" i="10"/>
  <c r="L29" i="10"/>
  <c r="K53" i="10"/>
  <c r="K54" i="10" s="1"/>
  <c r="K88" i="10" s="1"/>
  <c r="K89" i="10" s="1"/>
  <c r="J27" i="13"/>
  <c r="L53" i="12"/>
  <c r="L54" i="12" s="1"/>
  <c r="L88" i="12" s="1"/>
  <c r="I51" i="13"/>
  <c r="I28" i="13"/>
  <c r="K29" i="12"/>
  <c r="M52" i="12"/>
  <c r="O52" i="12" s="1"/>
  <c r="J54" i="12"/>
  <c r="J88" i="12" s="1"/>
  <c r="N52" i="10"/>
  <c r="P52" i="10" s="1"/>
  <c r="P49" i="10"/>
  <c r="L53" i="10"/>
  <c r="M52" i="10"/>
  <c r="O52" i="10" s="1"/>
  <c r="E94" i="10" l="1"/>
  <c r="E97" i="10" s="1"/>
  <c r="E98" i="10"/>
  <c r="I94" i="10"/>
  <c r="I97" i="10" s="1"/>
  <c r="I98" i="10"/>
  <c r="G94" i="10"/>
  <c r="G97" i="10" s="1"/>
  <c r="G98" i="10"/>
  <c r="J91" i="12"/>
  <c r="J93" i="12" s="1"/>
  <c r="J89" i="12"/>
  <c r="L91" i="12"/>
  <c r="L93" i="12" s="1"/>
  <c r="L89" i="12"/>
  <c r="I93" i="12"/>
  <c r="I96" i="12" s="1"/>
  <c r="G93" i="12"/>
  <c r="G96" i="12" s="1"/>
  <c r="E93" i="12"/>
  <c r="E96" i="12" s="1"/>
  <c r="J92" i="10"/>
  <c r="J94" i="10" s="1"/>
  <c r="H87" i="13"/>
  <c r="K91" i="12"/>
  <c r="K91" i="10"/>
  <c r="H97" i="10"/>
  <c r="O86" i="12"/>
  <c r="J28" i="13"/>
  <c r="N50" i="12"/>
  <c r="P50" i="12" s="1"/>
  <c r="J48" i="13"/>
  <c r="I49" i="13"/>
  <c r="J49" i="13" s="1"/>
  <c r="I52" i="13"/>
  <c r="J52" i="13" s="1"/>
  <c r="N29" i="10"/>
  <c r="P29" i="10" s="1"/>
  <c r="J51" i="13"/>
  <c r="M50" i="10"/>
  <c r="O50" i="10" s="1"/>
  <c r="M50" i="12"/>
  <c r="O50" i="12" s="1"/>
  <c r="M53" i="12"/>
  <c r="O53" i="12" s="1"/>
  <c r="M29" i="12"/>
  <c r="O29" i="12" s="1"/>
  <c r="N53" i="12"/>
  <c r="P53" i="12" s="1"/>
  <c r="N29" i="12"/>
  <c r="P29" i="12" s="1"/>
  <c r="N50" i="10"/>
  <c r="P50" i="10" s="1"/>
  <c r="N53" i="10"/>
  <c r="P53" i="10" s="1"/>
  <c r="M53" i="10"/>
  <c r="M29" i="10"/>
  <c r="O29" i="10" s="1"/>
  <c r="L54" i="10"/>
  <c r="L88" i="10" s="1"/>
  <c r="L89" i="10" s="1"/>
  <c r="K94" i="10" l="1"/>
  <c r="K97" i="10" s="1"/>
  <c r="K98" i="10"/>
  <c r="G95" i="10"/>
  <c r="G94" i="12"/>
  <c r="E94" i="12"/>
  <c r="K93" i="12"/>
  <c r="K96" i="12" s="1"/>
  <c r="I94" i="12"/>
  <c r="L91" i="10"/>
  <c r="L98" i="10" s="1"/>
  <c r="L92" i="10"/>
  <c r="J97" i="10"/>
  <c r="I95" i="10"/>
  <c r="I53" i="13"/>
  <c r="I85" i="13" s="1"/>
  <c r="I86" i="13" s="1"/>
  <c r="M54" i="10"/>
  <c r="O53" i="10"/>
  <c r="M54" i="12"/>
  <c r="N54" i="12"/>
  <c r="N88" i="12" s="1"/>
  <c r="N54" i="10"/>
  <c r="N88" i="10" s="1"/>
  <c r="N89" i="10" s="1"/>
  <c r="N91" i="12" l="1"/>
  <c r="N93" i="12" s="1"/>
  <c r="N89" i="12"/>
  <c r="K94" i="12"/>
  <c r="N91" i="10"/>
  <c r="N98" i="10" s="1"/>
  <c r="I87" i="13"/>
  <c r="O54" i="12"/>
  <c r="M88" i="12"/>
  <c r="M89" i="12" s="1"/>
  <c r="O54" i="10"/>
  <c r="M88" i="10"/>
  <c r="M89" i="10" s="1"/>
  <c r="P54" i="12"/>
  <c r="J53" i="13"/>
  <c r="P88" i="10"/>
  <c r="P54" i="10"/>
  <c r="F94" i="10"/>
  <c r="E95" i="10" s="1"/>
  <c r="P89" i="12" l="1"/>
  <c r="O88" i="10"/>
  <c r="P88" i="12"/>
  <c r="O88" i="12"/>
  <c r="J87" i="13"/>
  <c r="J85" i="13"/>
  <c r="F97" i="10"/>
  <c r="O89" i="12" l="1"/>
  <c r="M91" i="12"/>
  <c r="N92" i="10"/>
  <c r="P92" i="10" s="1"/>
  <c r="M91" i="10"/>
  <c r="C87" i="13"/>
  <c r="O89" i="10"/>
  <c r="P89" i="10"/>
  <c r="P91" i="10"/>
  <c r="P98" i="10" s="1"/>
  <c r="P91" i="12"/>
  <c r="L94" i="10"/>
  <c r="K95" i="10" s="1"/>
  <c r="M94" i="10" l="1"/>
  <c r="M97" i="10" s="1"/>
  <c r="M98" i="10"/>
  <c r="M93" i="12"/>
  <c r="M96" i="12" s="1"/>
  <c r="O91" i="12"/>
  <c r="O91" i="10"/>
  <c r="O98" i="10" s="1"/>
  <c r="Q92" i="10"/>
  <c r="N94" i="10"/>
  <c r="N97" i="10" s="1"/>
  <c r="O94" i="10"/>
  <c r="L97" i="10"/>
  <c r="P93" i="12"/>
  <c r="O97" i="10" l="1"/>
  <c r="M95" i="10"/>
  <c r="O93" i="12"/>
  <c r="O96" i="12" s="1"/>
  <c r="P94" i="10"/>
  <c r="P97" i="10" s="1"/>
  <c r="M94" i="12"/>
  <c r="O94" i="12" l="1"/>
  <c r="O95" i="10"/>
  <c r="J86" i="13"/>
  <c r="C86" i="13" s="1"/>
  <c r="D5" i="13" s="1"/>
  <c r="E89" i="13" l="1"/>
  <c r="C5" i="13"/>
  <c r="H89" i="13"/>
  <c r="H91" i="13" s="1"/>
  <c r="H93" i="13" s="1"/>
  <c r="I89" i="13"/>
  <c r="I91" i="13" s="1"/>
  <c r="I93" i="13" s="1"/>
  <c r="F89" i="13"/>
  <c r="F91" i="13" s="1"/>
  <c r="F93" i="13" s="1"/>
  <c r="G89" i="13"/>
  <c r="G91" i="13" s="1"/>
  <c r="G93" i="13" s="1"/>
  <c r="E91" i="13" l="1"/>
  <c r="E93" i="13" s="1"/>
  <c r="J89" i="13"/>
  <c r="J91" i="13" l="1"/>
  <c r="J93" i="13" s="1"/>
  <c r="H98" i="25" l="1"/>
  <c r="H100" i="25" s="1"/>
  <c r="G98" i="25"/>
  <c r="G100" i="25" s="1"/>
  <c r="I98" i="25"/>
  <c r="I100" i="25" s="1"/>
  <c r="I101" i="25" l="1"/>
  <c r="I103" i="25" s="1"/>
  <c r="I105" i="25" s="1"/>
  <c r="I133" i="25" s="1"/>
  <c r="G101" i="25"/>
  <c r="G103" i="25" s="1"/>
  <c r="G105" i="25" s="1"/>
  <c r="G133" i="25" s="1"/>
  <c r="H101" i="25"/>
  <c r="H103" i="25" s="1"/>
  <c r="H105" i="25" s="1"/>
  <c r="H133" i="25" s="1"/>
  <c r="F98" i="25"/>
  <c r="F100" i="25" s="1"/>
  <c r="E98" i="25"/>
  <c r="J98" i="25"/>
  <c r="F101" i="25" l="1"/>
  <c r="F103" i="25" s="1"/>
  <c r="F105" i="25" s="1"/>
  <c r="F133" i="25" s="1"/>
  <c r="E100" i="25"/>
  <c r="J100" i="25"/>
  <c r="J1" i="25" l="1"/>
  <c r="E101" i="25"/>
  <c r="E103" i="25" s="1"/>
  <c r="E105" i="25" s="1"/>
  <c r="G85" i="26"/>
  <c r="G87" i="26" s="1"/>
  <c r="G122" i="26" s="1"/>
  <c r="E85" i="26"/>
  <c r="E87" i="26" s="1"/>
  <c r="E122" i="26" s="1"/>
  <c r="F85" i="26"/>
  <c r="H85" i="26"/>
  <c r="B85" i="26"/>
  <c r="J103" i="25"/>
  <c r="J101" i="25"/>
  <c r="J105" i="25"/>
  <c r="G90" i="26" l="1"/>
  <c r="G121" i="26" s="1"/>
  <c r="H88" i="26"/>
  <c r="E90" i="26"/>
  <c r="F88" i="26"/>
  <c r="F90" i="26" s="1"/>
  <c r="J3" i="25"/>
  <c r="J133" i="25"/>
  <c r="J2" i="25"/>
  <c r="E133" i="25"/>
  <c r="H90" i="26"/>
  <c r="H121" i="26" s="1"/>
  <c r="P85" i="26"/>
  <c r="O85" i="26"/>
  <c r="Q85" i="26"/>
  <c r="O87" i="26" l="1"/>
  <c r="O122" i="26" s="1"/>
  <c r="E121" i="26"/>
  <c r="O90" i="26"/>
  <c r="F121" i="26"/>
  <c r="O121" i="26" l="1"/>
  <c r="Q87" i="26"/>
  <c r="Q122" i="26" s="1"/>
  <c r="P88" i="26"/>
  <c r="Q90" i="26"/>
  <c r="Q121" i="26" s="1"/>
  <c r="P90" i="26" l="1"/>
  <c r="R87" i="26"/>
  <c r="R86" i="26"/>
  <c r="R90" i="26" l="1"/>
  <c r="P12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Fellmann, Stephanie Lyn</author>
  </authors>
  <commentList>
    <comment ref="E81" authorId="0" shapeId="0" xr:uid="{00000000-0006-0000-0500-000001000000}">
      <text>
        <r>
          <rPr>
            <b/>
            <sz val="9"/>
            <color indexed="81"/>
            <rFont val="Tahoma"/>
            <family val="2"/>
          </rPr>
          <t xml:space="preserve">The first $25,000 of each subaward should be inserted in this row.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Fellmann, Stephanie Lyn</author>
  </authors>
  <commentList>
    <comment ref="E69" authorId="0" shapeId="0" xr:uid="{00000000-0006-0000-0600-000001000000}">
      <text>
        <r>
          <rPr>
            <b/>
            <sz val="9"/>
            <color indexed="81"/>
            <rFont val="Tahoma"/>
            <family val="2"/>
          </rPr>
          <t xml:space="preserve">The first $25,000 of each subaward should be inserted in this row.  </t>
        </r>
      </text>
    </comment>
    <comment ref="E71" authorId="0" shapeId="0" xr:uid="{00000000-0006-0000-0600-000002000000}">
      <text>
        <r>
          <rPr>
            <b/>
            <sz val="9"/>
            <color indexed="81"/>
            <rFont val="Tahoma"/>
            <family val="2"/>
          </rPr>
          <t xml:space="preserve">The first $25,000 of each subaward should be inserted in this row.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<sst xmlns="http://schemas.openxmlformats.org/spreadsheetml/2006/main" count="1121" uniqueCount="244">
  <si>
    <t>Total</t>
  </si>
  <si>
    <t>A.</t>
  </si>
  <si>
    <t>B.</t>
  </si>
  <si>
    <t>C.</t>
  </si>
  <si>
    <t>D.</t>
  </si>
  <si>
    <t>E.</t>
  </si>
  <si>
    <t>Other (printing, etc.)</t>
  </si>
  <si>
    <t>H.</t>
  </si>
  <si>
    <t>Total Direct Costs</t>
  </si>
  <si>
    <t>Applicable F&amp;A Rate</t>
  </si>
  <si>
    <t>Tuition Remission Rate</t>
  </si>
  <si>
    <t>Fringe Benefit Rate (SURS)</t>
  </si>
  <si>
    <t>Materials &amp; Supplies</t>
  </si>
  <si>
    <t>Total Other Direct Costs</t>
  </si>
  <si>
    <t>On Campus</t>
  </si>
  <si>
    <t>Off Campus</t>
  </si>
  <si>
    <t>Other Sponsored Activity</t>
  </si>
  <si>
    <t>Location</t>
  </si>
  <si>
    <t>Activity Type</t>
  </si>
  <si>
    <t>F&amp;A Rate Used</t>
  </si>
  <si>
    <t>Salary</t>
  </si>
  <si>
    <t>Fringe</t>
  </si>
  <si>
    <t>Other Senior Personnel</t>
  </si>
  <si>
    <t>Other Professional</t>
  </si>
  <si>
    <t>Student Hourly</t>
  </si>
  <si>
    <t>Other (non-SURS)</t>
  </si>
  <si>
    <t>Basis</t>
  </si>
  <si>
    <t>MTDC</t>
  </si>
  <si>
    <t>TDC</t>
  </si>
  <si>
    <t>All Personnel</t>
  </si>
  <si>
    <t>Participant Support Costs</t>
  </si>
  <si>
    <t>Total F&amp;A Costs</t>
  </si>
  <si>
    <t>Total Direct and F&amp;A Costs</t>
  </si>
  <si>
    <t>Effective F&amp;A Rate</t>
  </si>
  <si>
    <t>Base Costs</t>
  </si>
  <si>
    <t>F&amp;A Basis</t>
  </si>
  <si>
    <t>F.</t>
  </si>
  <si>
    <t>G.</t>
  </si>
  <si>
    <t>Inflation Rate - Salaries</t>
  </si>
  <si>
    <t>Inflation Rate - Expenses</t>
  </si>
  <si>
    <t>Unrecovered F&amp;A Costs</t>
  </si>
  <si>
    <t>Fringe Benefit Rate (Non-SURS &amp; Hourly &lt; Half Time)</t>
  </si>
  <si>
    <t>Sponsor</t>
  </si>
  <si>
    <t>Cost Share</t>
  </si>
  <si>
    <t>Fringe Benefit Rate (Hourly ≥ Half Time)</t>
  </si>
  <si>
    <t>UIC</t>
  </si>
  <si>
    <t>UIUC</t>
  </si>
  <si>
    <t>Unrecovered F&amp;A</t>
  </si>
  <si>
    <t>Unrecoverd F&amp;A</t>
  </si>
  <si>
    <t>NICRA Rate</t>
  </si>
  <si>
    <t>USDA Cap</t>
  </si>
  <si>
    <t>USDA Rate</t>
  </si>
  <si>
    <t>F&amp;A Rate to Propose:</t>
  </si>
  <si>
    <t>Yes</t>
  </si>
  <si>
    <t>No</t>
  </si>
  <si>
    <t>SPA</t>
  </si>
  <si>
    <t>Unrecovered F&amp;A as C/S?</t>
  </si>
  <si>
    <t>F&amp;A Rate for Cost Share</t>
  </si>
  <si>
    <t>F&amp;A Rate for Sponsor</t>
  </si>
  <si>
    <t>Sponsored Research</t>
  </si>
  <si>
    <t>Sponsored Instruction</t>
  </si>
  <si>
    <t>Other</t>
  </si>
  <si>
    <t>Fellowship</t>
  </si>
  <si>
    <t>Clinical Trial (Industry)</t>
  </si>
  <si>
    <t>Clinical Trial (Non-Industry)</t>
  </si>
  <si>
    <t>Applicable F&amp;A Basis</t>
  </si>
  <si>
    <t>NICRA MTDC Amount:</t>
  </si>
  <si>
    <t>TDC+ Amount:</t>
  </si>
  <si>
    <t>Admin. Salary*</t>
  </si>
  <si>
    <t>Co-PI/Co-I 1</t>
  </si>
  <si>
    <t>Co-PI/Co-I 2</t>
  </si>
  <si>
    <t>Co-PI/Co-I 3</t>
  </si>
  <si>
    <t>Co-PI/Co-I 4</t>
  </si>
  <si>
    <t>PI/PD</t>
  </si>
  <si>
    <t>Period 1</t>
  </si>
  <si>
    <t>Period 2</t>
  </si>
  <si>
    <t>Period 3</t>
  </si>
  <si>
    <t>Period 4</t>
  </si>
  <si>
    <t>Period 5</t>
  </si>
  <si>
    <t xml:space="preserve">Period Total </t>
  </si>
  <si>
    <t>Period Totals</t>
  </si>
  <si>
    <t>of Project Costs</t>
  </si>
  <si>
    <t>Computer Services</t>
  </si>
  <si>
    <t>Tuition Remission</t>
  </si>
  <si>
    <t>Shipping</t>
  </si>
  <si>
    <t>Other Direct Costs</t>
  </si>
  <si>
    <t>Senior Personnel</t>
  </si>
  <si>
    <t>Other Personnel</t>
  </si>
  <si>
    <t>Fringe Benefits</t>
  </si>
  <si>
    <t>I.</t>
  </si>
  <si>
    <t>J.</t>
  </si>
  <si>
    <t>Subtotal</t>
  </si>
  <si>
    <t>Total Indirect (F&amp;A) Costs</t>
  </si>
  <si>
    <r>
      <rPr>
        <b/>
        <sz val="10"/>
        <rFont val="Arial"/>
        <family val="2"/>
      </rPr>
      <t>Travel</t>
    </r>
    <r>
      <rPr>
        <sz val="10"/>
        <rFont val="Arial"/>
        <family val="2"/>
      </rPr>
      <t xml:space="preserve"> - Domestic</t>
    </r>
  </si>
  <si>
    <r>
      <rPr>
        <b/>
        <sz val="10"/>
        <rFont val="Arial"/>
        <family val="2"/>
      </rPr>
      <t>Travel</t>
    </r>
    <r>
      <rPr>
        <sz val="10"/>
        <rFont val="Arial"/>
        <family val="2"/>
      </rPr>
      <t xml:space="preserve"> - International</t>
    </r>
  </si>
  <si>
    <t xml:space="preserve">Subaward: </t>
  </si>
  <si>
    <t>Subaward:</t>
  </si>
  <si>
    <t>Equipment</t>
  </si>
  <si>
    <t>Administered Programs via RFP</t>
  </si>
  <si>
    <t>Conference Hosting Costs (Room Rental, Honorariums)</t>
  </si>
  <si>
    <t xml:space="preserve">Non-Employee Travel </t>
  </si>
  <si>
    <t>Conference Registration</t>
  </si>
  <si>
    <t>Consultant Services (Professional Service Costs)</t>
  </si>
  <si>
    <t>Publication / Dissemination</t>
  </si>
  <si>
    <t>Animal Costs / Human Incentive Costs</t>
  </si>
  <si>
    <t>Equipment Rental</t>
  </si>
  <si>
    <t>Service Activity (Internal)</t>
  </si>
  <si>
    <t>Add Your Notes Here</t>
  </si>
  <si>
    <t>Graduate Assistants</t>
  </si>
  <si>
    <t>Graduate Assistant(s)</t>
  </si>
  <si>
    <t>Postdoctoral Research Assistant(s)</t>
  </si>
  <si>
    <t>Subtotal Other-Other</t>
  </si>
  <si>
    <t>Other Contractor Costs: (Advisory Board, Printing Services)</t>
  </si>
  <si>
    <t>USDA-APHIS Cap Rate</t>
  </si>
  <si>
    <t>USDA-NIFA Cap Rate</t>
  </si>
  <si>
    <t>Other Amount:</t>
  </si>
  <si>
    <t>PI</t>
  </si>
  <si>
    <t>Postdoctoral Research Assistant</t>
  </si>
  <si>
    <t>Other Contractor Costs</t>
  </si>
  <si>
    <t>Service Activity</t>
  </si>
  <si>
    <t>Human Incentive Costs</t>
  </si>
  <si>
    <t>Animal Costs</t>
  </si>
  <si>
    <t>Rental - Real Property</t>
  </si>
  <si>
    <t>Rental - Equipment</t>
  </si>
  <si>
    <t>PD</t>
  </si>
  <si>
    <t>Co-PI / MPI</t>
  </si>
  <si>
    <t>Co-I</t>
  </si>
  <si>
    <t>Other Senior</t>
  </si>
  <si>
    <t>Administrator*</t>
  </si>
  <si>
    <t>Name</t>
  </si>
  <si>
    <t>Annual Salary</t>
  </si>
  <si>
    <t>Sr. Person Subtotal</t>
  </si>
  <si>
    <t>Oth. Pers. Subtotal</t>
  </si>
  <si>
    <t>Equip #1</t>
  </si>
  <si>
    <t>Total Equipment Costs</t>
  </si>
  <si>
    <t>Rate | Participants</t>
  </si>
  <si>
    <t>Stipends</t>
  </si>
  <si>
    <t>Travel</t>
  </si>
  <si>
    <t>Subsistence</t>
  </si>
  <si>
    <t>Total PSC</t>
  </si>
  <si>
    <t>Org Name 1</t>
  </si>
  <si>
    <t>MTDC Assessed Costs</t>
  </si>
  <si>
    <t>Org Name 2</t>
  </si>
  <si>
    <t>Other Personnel Subtotals by Category</t>
  </si>
  <si>
    <t>Postdoc Subtotal</t>
  </si>
  <si>
    <t>Other Professional Subtotal</t>
  </si>
  <si>
    <t>GRA Subtotal</t>
  </si>
  <si>
    <t>Hourly Subtotal</t>
  </si>
  <si>
    <t>Admin* Subtotal</t>
  </si>
  <si>
    <t>Non-SURS Subtotal</t>
  </si>
  <si>
    <t>F&amp;A Cost Share Total (myProposals)</t>
  </si>
  <si>
    <t>Personnel Cost Share Totals (myProposals)</t>
  </si>
  <si>
    <t>Equip #2</t>
  </si>
  <si>
    <t>Subagreement:</t>
  </si>
  <si>
    <t>Fringe Benefit Rate (GRA ≥ Half Time)</t>
  </si>
  <si>
    <t>Fringe Benefit Rate (GRA &lt; Half Time)</t>
  </si>
  <si>
    <t>Graduate Assistant ≥ Half Time Enroll</t>
  </si>
  <si>
    <t>Graduate Assistant &lt; Half Time Enroll</t>
  </si>
  <si>
    <t>Non-SURS Employee</t>
  </si>
  <si>
    <r>
      <t xml:space="preserve">Student Hourly </t>
    </r>
    <r>
      <rPr>
        <sz val="10"/>
        <rFont val="Calibri"/>
        <family val="2"/>
      </rPr>
      <t>≥</t>
    </r>
    <r>
      <rPr>
        <sz val="10"/>
        <rFont val="Arial"/>
        <family val="2"/>
      </rPr>
      <t xml:space="preserve"> Half Time Enroll</t>
    </r>
  </si>
  <si>
    <t>Student Hourly &lt; Half Time Enroll</t>
  </si>
  <si>
    <t>Fringe Benefit Rate (Student Hourly ≥ Half Time Enrollment)</t>
  </si>
  <si>
    <t>Fringe Benefit Rate (Non-SURS &amp; Student Hourly &lt; Half Time Enrollment)</t>
  </si>
  <si>
    <t>Fringe Benefit Rate (GRA ≥ Half Time Enrollment)</t>
  </si>
  <si>
    <t>Fringe Benefit Rate (GRA &lt; Half Time Enrollment)</t>
  </si>
  <si>
    <t>≥ Half Time Enrollment</t>
  </si>
  <si>
    <t xml:space="preserve"> &lt; Half Time Enrollment</t>
  </si>
  <si>
    <t>Fringe Benefit Rate (Student Hourly ≥ Half Time)</t>
  </si>
  <si>
    <t>Fringe Benefit Rate (Non-SURS &amp; Student Hourly &lt; Half Time)</t>
  </si>
  <si>
    <t>Escalate Period 1?</t>
  </si>
  <si>
    <t>UIS</t>
  </si>
  <si>
    <t>Component Type</t>
  </si>
  <si>
    <t>Project Costs</t>
  </si>
  <si>
    <t>Sub Name 1</t>
  </si>
  <si>
    <t>Sub Name 2</t>
  </si>
  <si>
    <t>Computer Services - Exempt (Cloud Computing, ICCP)</t>
  </si>
  <si>
    <t>Mo. Salary</t>
  </si>
  <si>
    <t>Fringe Rate</t>
  </si>
  <si>
    <t>Appt./Mos.</t>
  </si>
  <si>
    <t>hide help text</t>
  </si>
  <si>
    <t>Period of Performance</t>
  </si>
  <si>
    <t>Total Request</t>
  </si>
  <si>
    <t>Direct Request</t>
  </si>
  <si>
    <t>Indirect Request</t>
  </si>
  <si>
    <t>Opportunity Number</t>
  </si>
  <si>
    <t>Notes</t>
  </si>
  <si>
    <t>Exempt Subaward Costs (&gt;$50k)</t>
  </si>
  <si>
    <t>MTDC Exempt Costs (&gt;$50k)</t>
  </si>
  <si>
    <t>Participant Cost</t>
  </si>
  <si>
    <t>EQUIPMENT</t>
  </si>
  <si>
    <t>item</t>
  </si>
  <si>
    <t>quantity</t>
  </si>
  <si>
    <t>cost</t>
  </si>
  <si>
    <t>Travel #1</t>
  </si>
  <si>
    <t>nights/days/time</t>
  </si>
  <si>
    <t>cost per item</t>
  </si>
  <si>
    <t>total cost item</t>
  </si>
  <si>
    <t>Int or Dom</t>
  </si>
  <si>
    <t>Domestic</t>
  </si>
  <si>
    <t>lodging</t>
  </si>
  <si>
    <t>airfare</t>
  </si>
  <si>
    <t>per diem</t>
  </si>
  <si>
    <t>mileage</t>
  </si>
  <si>
    <t>ground travel</t>
  </si>
  <si>
    <t>per trip</t>
  </si>
  <si>
    <t>persons</t>
  </si>
  <si>
    <t>Travel #2</t>
  </si>
  <si>
    <t>International</t>
  </si>
  <si>
    <t>Travel #3</t>
  </si>
  <si>
    <t>Annual Domestic Cost</t>
  </si>
  <si>
    <t>Annual International Cost</t>
  </si>
  <si>
    <t>PARTICIPANT COST</t>
  </si>
  <si>
    <t>total</t>
  </si>
  <si>
    <t>OTHER DIRECT COST</t>
  </si>
  <si>
    <t>Materials and Supplies</t>
  </si>
  <si>
    <t xml:space="preserve">Publication </t>
  </si>
  <si>
    <t>conf #1 reg cost</t>
  </si>
  <si>
    <t>conf #2 reg cost</t>
  </si>
  <si>
    <t>conf #3 reg cost</t>
  </si>
  <si>
    <t>Human Incentive Cost</t>
  </si>
  <si>
    <t>Geography &amp; Geographic Information Science</t>
  </si>
  <si>
    <t>~ increase</t>
  </si>
  <si>
    <t>All</t>
  </si>
  <si>
    <t>Research Assistants</t>
  </si>
  <si>
    <t>Mo rate</t>
  </si>
  <si>
    <t>9 mos.</t>
  </si>
  <si>
    <t>11 mos.</t>
  </si>
  <si>
    <t>AY2026 - 08/16/25-08/15/26</t>
  </si>
  <si>
    <t>**The Department of Geography &amp; Geographic Information Science currency does not have a salary policy for Postdoctoral Research Associates.</t>
  </si>
  <si>
    <t xml:space="preserve">   In general, the range for salaries used in various grant proposals is $50,000 - $55,000.</t>
  </si>
  <si>
    <t xml:space="preserve">   However, $45,395 is the current campus minimum for Postdoctoral Research Associates. (Campus guidelines issued for FY 2025)</t>
  </si>
  <si>
    <t>Geology</t>
  </si>
  <si>
    <t>**The Department of Geology currency does not have a salary policy for Postdoctoral Research Associates.</t>
  </si>
  <si>
    <t>Atmospheric Sciences</t>
  </si>
  <si>
    <t>Incoming Pre-M.S Degree</t>
  </si>
  <si>
    <t>MS Degree</t>
  </si>
  <si>
    <t>PhD Degree (post prelim)</t>
  </si>
  <si>
    <t>11 mos</t>
  </si>
  <si>
    <t>Mo. Rate</t>
  </si>
  <si>
    <t>**The Department of Atmospheric Sciences currency does not have a salary policy for Postdoctoral Research Associates.</t>
  </si>
  <si>
    <t xml:space="preserve">TRAVEL </t>
  </si>
  <si>
    <t>GGIS Graduate Student Rates - AY26-27</t>
  </si>
  <si>
    <t>ESEC Graduate Student Rates - AY26-27</t>
  </si>
  <si>
    <t>CliMAS Graduate Student Rates - AY26-27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</si>
</sst>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0.0%"/>
    <numFmt numFmtId="165" formatCode="0.000%"/>
    <numFmt numFmtId="166" formatCode="_(&quot;$&quot;* #,##0_);_(&quot;$&quot;* \(#,##0\);_(&quot;$&quot;* &quot;-&quot;??_);_(@_)"/>
    <numFmt numFmtId="167" formatCode="&quot;$&quot;#,##0"/>
  </numFmts>
  <fonts count="63" x14ac:knownFonts="1">
    <font>
      <sz val="10"/>
      <name val="Arial"/>
    </font>
    <font>
      <b/>
      <sz val="10"/>
      <name val="Arial"/>
      <family val="2"/>
    </font>
    <font>
      <sz val="10"/>
      <name val="Arial"/>
      <family val="2"/>
    </font>
    <font>
      <sz val="10"/>
      <color indexed="8"/>
      <name val="Arial"/>
      <family val="2"/>
    </font>
    <font>
      <sz val="10"/>
      <color indexed="12"/>
      <name val="Arial"/>
      <family val="2"/>
    </font>
    <font>
      <sz val="10"/>
      <color indexed="10"/>
      <name val="Arial"/>
      <family val="2"/>
    </font>
    <font>
      <sz val="10"/>
      <name val="Arial"/>
      <family val="2"/>
    </font>
    <font>
      <b/>
      <sz val="10"/>
      <color indexed="12"/>
      <name val="Arial"/>
      <family val="2"/>
    </font>
    <font>
      <b/>
      <sz val="10"/>
      <color indexed="8"/>
      <name val="Arial"/>
      <family val="2"/>
    </font>
    <font>
      <b/>
      <sz val="10"/>
      <color indexed="8"/>
      <name val="Arial"/>
      <family val="2"/>
    </font>
    <font>
      <sz val="10"/>
      <color indexed="10"/>
      <name val="Arial"/>
      <family val="2"/>
    </font>
    <font>
      <b/>
      <u val="singleAccounting"/>
      <sz val="10"/>
      <name val="Arial"/>
      <family val="2"/>
    </font>
    <font>
      <b/>
      <u val="singleAccounting"/>
      <sz val="10"/>
      <color indexed="8"/>
      <name val="Arial"/>
      <family val="2"/>
    </font>
    <font>
      <b/>
      <u val="singleAccounting"/>
      <sz val="10"/>
      <color indexed="12"/>
      <name val="Arial"/>
      <family val="2"/>
    </font>
    <font>
      <sz val="10"/>
      <name val="Arial"/>
      <family val="2"/>
    </font>
    <font>
      <b/>
      <sz val="10"/>
      <name val="Arial"/>
      <family val="2"/>
    </font>
    <font>
      <i/>
      <sz val="10"/>
      <name val="Arial"/>
      <family val="2"/>
    </font>
    <font>
      <i/>
      <sz val="10"/>
      <color indexed="12"/>
      <name val="Arial"/>
      <family val="2"/>
    </font>
    <font>
      <sz val="10"/>
      <color rgb="FFFF0000"/>
      <name val="Arial"/>
      <family val="2"/>
    </font>
    <font>
      <b/>
      <sz val="10"/>
      <color indexed="12"/>
      <name val="Arial"/>
      <family val="2"/>
    </font>
    <font>
      <b/>
      <u/>
      <sz val="10"/>
      <name val="Arial"/>
      <family val="2"/>
    </font>
    <font>
      <b/>
      <sz val="10"/>
      <color rgb="FF0070C0"/>
      <name val="Arial"/>
      <family val="2"/>
    </font>
    <font>
      <i/>
      <sz val="9"/>
      <name val="Arial"/>
      <family val="2"/>
    </font>
    <font>
      <i/>
      <sz val="9"/>
      <color indexed="12"/>
      <name val="Arial"/>
      <family val="2"/>
    </font>
    <font>
      <u/>
      <sz val="10"/>
      <color theme="10"/>
      <name val="Arial"/>
      <family val="2"/>
    </font>
    <font>
      <sz val="9"/>
      <name val="Arial"/>
      <family val="2"/>
    </font>
    <font>
      <sz val="9"/>
      <color indexed="8"/>
      <name val="Arial"/>
      <family val="2"/>
    </font>
    <font>
      <b/>
      <sz val="9"/>
      <name val="Arial"/>
      <family val="2"/>
    </font>
    <font>
      <sz val="9"/>
      <color indexed="10"/>
      <name val="Arial"/>
      <family val="2"/>
    </font>
    <font>
      <b/>
      <sz val="9"/>
      <color rgb="FFFF0000"/>
      <name val="Arial"/>
      <family val="2"/>
    </font>
    <font>
      <b/>
      <sz val="9"/>
      <color indexed="8"/>
      <name val="Arial"/>
      <family val="2"/>
    </font>
    <font>
      <b/>
      <sz val="9"/>
      <color indexed="81"/>
      <name val="Tahoma"/>
      <family val="2"/>
    </font>
    <font>
      <b/>
      <u val="singleAccounting"/>
      <sz val="9.5"/>
      <name val="Arial"/>
      <family val="2"/>
    </font>
    <font>
      <b/>
      <u val="singleAccounting"/>
      <sz val="9.5"/>
      <color indexed="8"/>
      <name val="Arial"/>
      <family val="2"/>
    </font>
    <font>
      <b/>
      <u val="singleAccounting"/>
      <sz val="9.5"/>
      <color indexed="12"/>
      <name val="Arial"/>
      <family val="2"/>
    </font>
    <font>
      <sz val="11"/>
      <name val="Arial"/>
      <family val="2"/>
    </font>
    <font>
      <sz val="9"/>
      <color indexed="12"/>
      <name val="Arial"/>
      <family val="2"/>
    </font>
    <font>
      <b/>
      <u/>
      <sz val="9"/>
      <color rgb="FFFF0000"/>
      <name val="Arial"/>
      <family val="2"/>
    </font>
    <font>
      <sz val="12"/>
      <name val="Arial"/>
      <family val="2"/>
    </font>
    <font>
      <u/>
      <sz val="9"/>
      <name val="Arial"/>
      <family val="2"/>
    </font>
    <font>
      <sz val="8"/>
      <name val="Arial"/>
      <family val="2"/>
    </font>
    <font>
      <sz val="10"/>
      <name val="Calibri"/>
      <family val="2"/>
    </font>
    <font>
      <sz val="9"/>
      <color rgb="FFFF0000"/>
      <name val="Arial"/>
      <family val="2"/>
    </font>
    <font>
      <i/>
      <sz val="9"/>
      <color indexed="10"/>
      <name val="Arial"/>
      <family val="2"/>
    </font>
    <font>
      <i/>
      <sz val="9"/>
      <color rgb="FFFF0000"/>
      <name val="Arial"/>
      <family val="2"/>
    </font>
    <font>
      <b/>
      <i/>
      <sz val="9"/>
      <name val="Arial"/>
      <family val="2"/>
    </font>
    <font>
      <b/>
      <i/>
      <sz val="9"/>
      <color indexed="12"/>
      <name val="Arial"/>
      <family val="2"/>
    </font>
    <font>
      <i/>
      <sz val="8"/>
      <name val="Arial"/>
      <family val="2"/>
    </font>
    <font>
      <b/>
      <sz val="8"/>
      <name val="Arial"/>
      <family val="2"/>
    </font>
    <font>
      <sz val="9"/>
      <color theme="5" tint="0.39997558519241921"/>
      <name val="Arial"/>
      <family val="2"/>
    </font>
    <font>
      <sz val="10"/>
      <color theme="5" tint="0.39997558519241921"/>
      <name val="Arial"/>
      <family val="2"/>
    </font>
    <font>
      <sz val="4"/>
      <color theme="0"/>
      <name val="Arial"/>
      <family val="2"/>
    </font>
    <font>
      <u/>
      <sz val="10"/>
      <name val="Arial"/>
      <family val="2"/>
    </font>
    <font>
      <sz val="7"/>
      <color rgb="FFFF0000"/>
      <name val="Arial"/>
      <family val="2"/>
    </font>
    <font>
      <i/>
      <sz val="8"/>
      <color theme="0"/>
      <name val="Arial"/>
      <family val="2"/>
    </font>
    <font>
      <sz val="8"/>
      <color indexed="12"/>
      <name val="Arial"/>
      <family val="2"/>
    </font>
    <font>
      <sz val="8"/>
      <color indexed="8"/>
      <name val="Arial"/>
      <family val="2"/>
    </font>
    <font>
      <b/>
      <sz val="10"/>
      <color rgb="FFFF0000"/>
      <name val="Arial"/>
      <family val="2"/>
    </font>
    <font>
      <b/>
      <sz val="10"/>
      <color theme="0"/>
      <name val="Arial"/>
      <family val="2"/>
    </font>
    <font>
      <b/>
      <sz val="12"/>
      <name val="Cambria"/>
      <family val="2"/>
      <scheme val="major"/>
    </font>
    <font>
      <b/>
      <sz val="16"/>
      <name val="Arial"/>
      <family val="2"/>
    </font>
    <font>
      <b/>
      <sz val="12"/>
      <name val="Arial"/>
      <family val="2"/>
    </font>
    <font>
      <b/>
      <i/>
      <sz val="8"/>
      <color rgb="FFFF0000"/>
      <name val="Arial"/>
      <family val="2"/>
    </font>
  </fonts>
  <fills count="2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E7E7"/>
        <bgColor indexed="64"/>
      </patternFill>
    </fill>
    <fill>
      <patternFill patternType="solid">
        <fgColor theme="0"/>
        <bgColor indexed="64"/>
      </patternFill>
    </fill>
    <fill>
      <patternFill patternType="solid">
        <fgColor theme="4" tint="0.39997558519241921"/>
        <bgColor indexed="64"/>
      </patternFill>
    </fill>
    <fill>
      <patternFill patternType="solid">
        <fgColor theme="9"/>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DF1717"/>
        <bgColor indexed="64"/>
      </patternFill>
    </fill>
    <fill>
      <patternFill patternType="solid">
        <fgColor theme="1"/>
        <bgColor indexed="64"/>
      </patternFill>
    </fill>
    <fill>
      <patternFill patternType="solid">
        <fgColor theme="1" tint="0.499984740745262"/>
        <bgColor indexed="64"/>
      </patternFill>
    </fill>
    <fill>
      <patternFill patternType="solid">
        <fgColor rgb="FFF17B7B"/>
        <bgColor indexed="64"/>
      </patternFill>
    </fill>
    <fill>
      <patternFill patternType="solid">
        <fgColor theme="9" tint="0.59999389629810485"/>
        <bgColor indexed="64"/>
      </patternFill>
    </fill>
    <fill>
      <patternFill patternType="solid">
        <fgColor rgb="FFFFFF00"/>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right/>
      <top style="medium">
        <color rgb="FFFF0000"/>
      </top>
      <bottom/>
      <diagonal/>
    </border>
    <border>
      <left/>
      <right style="medium">
        <color rgb="FFFF0000"/>
      </right>
      <top style="medium">
        <color rgb="FFFF0000"/>
      </top>
      <bottom/>
      <diagonal/>
    </border>
    <border>
      <left/>
      <right style="medium">
        <color rgb="FFFF0000"/>
      </right>
      <top/>
      <bottom/>
      <diagonal/>
    </border>
    <border>
      <left style="medium">
        <color rgb="FFFF0000"/>
      </left>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bottom style="medium">
        <color rgb="FFFF0000"/>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rgb="FFFF0000"/>
      </top>
      <bottom/>
      <diagonal/>
    </border>
    <border>
      <left/>
      <right style="medium">
        <color rgb="FFFF0000"/>
      </right>
      <top/>
      <bottom style="medium">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double">
        <color indexed="64"/>
      </bottom>
      <diagonal/>
    </border>
    <border>
      <left style="thin">
        <color indexed="64"/>
      </left>
      <right/>
      <top style="double">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theme="1"/>
      </bottom>
      <diagonal/>
    </border>
    <border>
      <left style="thin">
        <color theme="1"/>
      </left>
      <right style="thin">
        <color theme="1"/>
      </right>
      <top style="thin">
        <color theme="1"/>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4" fillId="0" borderId="0" applyNumberFormat="0" applyFill="0" applyBorder="0" applyAlignment="0" applyProtection="0"/>
    <xf numFmtId="43" fontId="2" fillId="0" borderId="0" applyFont="0" applyFill="0" applyBorder="0" applyAlignment="0" applyProtection="0"/>
  </cellStyleXfs>
  <cellXfs count="822">
    <xf numFmtId="0" fontId="0" fillId="0" borderId="0" xfId="0"/>
    <xf numFmtId="166" fontId="3" fillId="0" borderId="0" xfId="1" quotePrefix="1" applyNumberFormat="1" applyFont="1" applyBorder="1" applyProtection="1">
      <protection locked="0"/>
    </xf>
    <xf numFmtId="166" fontId="3" fillId="0" borderId="0" xfId="1" applyNumberFormat="1" applyFont="1" applyBorder="1" applyProtection="1">
      <protection locked="0"/>
    </xf>
    <xf numFmtId="166" fontId="10" fillId="0" borderId="0" xfId="1" applyNumberFormat="1" applyFont="1" applyBorder="1" applyProtection="1">
      <protection locked="0"/>
    </xf>
    <xf numFmtId="166" fontId="18" fillId="0" borderId="0" xfId="1" applyNumberFormat="1" applyFont="1" applyBorder="1" applyProtection="1">
      <protection locked="0"/>
    </xf>
    <xf numFmtId="166" fontId="14" fillId="0" borderId="0" xfId="1" applyNumberFormat="1" applyFont="1" applyBorder="1" applyProtection="1">
      <protection locked="0"/>
    </xf>
    <xf numFmtId="166" fontId="5" fillId="0" borderId="0" xfId="1" applyNumberFormat="1" applyFont="1" applyBorder="1" applyProtection="1">
      <protection locked="0"/>
    </xf>
    <xf numFmtId="10" fontId="14" fillId="0" borderId="0" xfId="2" applyNumberFormat="1" applyFont="1" applyFill="1" applyBorder="1" applyProtection="1"/>
    <xf numFmtId="0" fontId="15" fillId="0" borderId="0" xfId="0" applyFont="1" applyAlignment="1">
      <alignment horizontal="left"/>
    </xf>
    <xf numFmtId="0" fontId="14" fillId="0" borderId="0" xfId="0" applyFont="1" applyAlignment="1">
      <alignment horizontal="center"/>
    </xf>
    <xf numFmtId="166" fontId="6" fillId="0" borderId="0" xfId="1" applyNumberFormat="1" applyFont="1" applyProtection="1"/>
    <xf numFmtId="0" fontId="14" fillId="0" borderId="0" xfId="0" applyFont="1"/>
    <xf numFmtId="0" fontId="6" fillId="0" borderId="0" xfId="0" applyFont="1"/>
    <xf numFmtId="166" fontId="3" fillId="0" borderId="0" xfId="1" applyNumberFormat="1" applyFont="1" applyBorder="1" applyProtection="1"/>
    <xf numFmtId="166" fontId="3" fillId="0" borderId="0" xfId="1" applyNumberFormat="1" applyFont="1" applyProtection="1"/>
    <xf numFmtId="49" fontId="0" fillId="0" borderId="0" xfId="0" applyNumberFormat="1"/>
    <xf numFmtId="164" fontId="18" fillId="0" borderId="0" xfId="2" applyNumberFormat="1" applyFont="1" applyProtection="1"/>
    <xf numFmtId="0" fontId="18" fillId="0" borderId="0" xfId="0" applyFont="1"/>
    <xf numFmtId="0" fontId="1" fillId="0" borderId="0" xfId="0" applyFont="1" applyAlignment="1">
      <alignment horizontal="center"/>
    </xf>
    <xf numFmtId="0" fontId="1" fillId="0" borderId="0" xfId="0" applyFont="1"/>
    <xf numFmtId="0" fontId="1" fillId="0" borderId="3" xfId="0" applyFont="1" applyBorder="1" applyAlignment="1">
      <alignment horizontal="center"/>
    </xf>
    <xf numFmtId="0" fontId="14" fillId="0" borderId="0" xfId="0" applyFont="1" applyAlignment="1">
      <alignment horizontal="left"/>
    </xf>
    <xf numFmtId="1" fontId="14" fillId="0" borderId="0" xfId="0" applyNumberFormat="1" applyFont="1" applyAlignment="1">
      <alignment horizontal="left"/>
    </xf>
    <xf numFmtId="1" fontId="2" fillId="0" borderId="0" xfId="0" applyNumberFormat="1" applyFont="1"/>
    <xf numFmtId="166" fontId="4" fillId="0" borderId="4" xfId="1" applyNumberFormat="1" applyFont="1" applyBorder="1" applyProtection="1"/>
    <xf numFmtId="166" fontId="3" fillId="0" borderId="0" xfId="1" applyNumberFormat="1" applyFont="1" applyFill="1" applyBorder="1" applyProtection="1"/>
    <xf numFmtId="1" fontId="14" fillId="0" borderId="0" xfId="0" applyNumberFormat="1" applyFont="1"/>
    <xf numFmtId="0" fontId="2" fillId="0" borderId="3" xfId="0" applyFont="1" applyBorder="1" applyAlignment="1">
      <alignment horizontal="center"/>
    </xf>
    <xf numFmtId="1" fontId="14" fillId="0" borderId="10" xfId="0" applyNumberFormat="1" applyFont="1" applyBorder="1"/>
    <xf numFmtId="166" fontId="3" fillId="0" borderId="10" xfId="1" applyNumberFormat="1" applyFont="1" applyBorder="1" applyProtection="1"/>
    <xf numFmtId="166" fontId="4" fillId="0" borderId="9" xfId="1" applyNumberFormat="1" applyFont="1" applyBorder="1" applyProtection="1"/>
    <xf numFmtId="166" fontId="9" fillId="0" borderId="0" xfId="1" applyNumberFormat="1" applyFont="1" applyFill="1" applyBorder="1" applyProtection="1"/>
    <xf numFmtId="1" fontId="15" fillId="0" borderId="0" xfId="0" applyNumberFormat="1" applyFont="1" applyAlignment="1">
      <alignment horizontal="left"/>
    </xf>
    <xf numFmtId="1" fontId="15" fillId="0" borderId="0" xfId="0" applyNumberFormat="1" applyFont="1"/>
    <xf numFmtId="166" fontId="9" fillId="0" borderId="0" xfId="1" applyNumberFormat="1" applyFont="1" applyBorder="1" applyProtection="1"/>
    <xf numFmtId="0" fontId="2" fillId="0" borderId="0" xfId="0" applyFont="1"/>
    <xf numFmtId="166" fontId="7" fillId="0" borderId="4" xfId="1" applyNumberFormat="1" applyFont="1" applyBorder="1" applyProtection="1"/>
    <xf numFmtId="0" fontId="15" fillId="0" borderId="3" xfId="0" applyFont="1" applyBorder="1" applyAlignment="1">
      <alignment horizontal="center"/>
    </xf>
    <xf numFmtId="1" fontId="2" fillId="0" borderId="10" xfId="0" applyNumberFormat="1" applyFont="1" applyBorder="1"/>
    <xf numFmtId="166" fontId="1" fillId="0" borderId="0" xfId="1" applyNumberFormat="1" applyFont="1" applyFill="1" applyBorder="1" applyProtection="1"/>
    <xf numFmtId="166" fontId="8" fillId="0" borderId="0" xfId="1" applyNumberFormat="1" applyFont="1" applyBorder="1" applyProtection="1"/>
    <xf numFmtId="166" fontId="1" fillId="0" borderId="0" xfId="1" applyNumberFormat="1" applyFont="1" applyBorder="1" applyProtection="1"/>
    <xf numFmtId="1" fontId="16" fillId="0" borderId="0" xfId="0" applyNumberFormat="1" applyFont="1"/>
    <xf numFmtId="0" fontId="16" fillId="0" borderId="0" xfId="0" applyFont="1" applyAlignment="1">
      <alignment horizontal="right"/>
    </xf>
    <xf numFmtId="166" fontId="16" fillId="0" borderId="0" xfId="1" applyNumberFormat="1" applyFont="1" applyBorder="1" applyProtection="1"/>
    <xf numFmtId="166" fontId="17" fillId="0" borderId="4" xfId="1" applyNumberFormat="1" applyFont="1" applyBorder="1" applyProtection="1"/>
    <xf numFmtId="0" fontId="1" fillId="0" borderId="5" xfId="0" applyFont="1" applyBorder="1" applyAlignment="1">
      <alignment horizontal="center"/>
    </xf>
    <xf numFmtId="0" fontId="15" fillId="0" borderId="6" xfId="0" applyFont="1" applyBorder="1" applyAlignment="1">
      <alignment horizontal="left"/>
    </xf>
    <xf numFmtId="1" fontId="2" fillId="0" borderId="6" xfId="0" applyNumberFormat="1" applyFont="1" applyBorder="1"/>
    <xf numFmtId="166" fontId="1" fillId="0" borderId="6" xfId="1" applyNumberFormat="1" applyFont="1" applyBorder="1" applyProtection="1"/>
    <xf numFmtId="166" fontId="7" fillId="0" borderId="8" xfId="1" applyNumberFormat="1" applyFont="1" applyBorder="1" applyProtection="1"/>
    <xf numFmtId="1" fontId="14" fillId="2" borderId="2" xfId="0" applyNumberFormat="1" applyFont="1" applyFill="1" applyBorder="1"/>
    <xf numFmtId="0" fontId="14" fillId="2" borderId="2" xfId="0" applyFont="1" applyFill="1" applyBorder="1"/>
    <xf numFmtId="164" fontId="14" fillId="2" borderId="2" xfId="2" applyNumberFormat="1" applyFont="1" applyFill="1" applyBorder="1" applyProtection="1"/>
    <xf numFmtId="1" fontId="14" fillId="2" borderId="6" xfId="0" applyNumberFormat="1" applyFont="1" applyFill="1" applyBorder="1"/>
    <xf numFmtId="0" fontId="14" fillId="2" borderId="6" xfId="0" applyFont="1" applyFill="1" applyBorder="1"/>
    <xf numFmtId="166" fontId="4" fillId="0" borderId="0" xfId="1" applyNumberFormat="1" applyFont="1" applyProtection="1"/>
    <xf numFmtId="166" fontId="13" fillId="0" borderId="4" xfId="1" applyNumberFormat="1" applyFont="1" applyBorder="1" applyAlignment="1" applyProtection="1">
      <alignment horizontal="center"/>
    </xf>
    <xf numFmtId="164" fontId="21" fillId="2" borderId="7" xfId="2" applyNumberFormat="1" applyFont="1" applyFill="1" applyBorder="1" applyProtection="1"/>
    <xf numFmtId="1" fontId="15" fillId="0" borderId="10" xfId="0" applyNumberFormat="1" applyFont="1" applyBorder="1" applyAlignment="1">
      <alignment horizontal="left"/>
    </xf>
    <xf numFmtId="164" fontId="21" fillId="2" borderId="2" xfId="2" applyNumberFormat="1" applyFont="1" applyFill="1" applyBorder="1" applyProtection="1"/>
    <xf numFmtId="166" fontId="4" fillId="0" borderId="0" xfId="1" applyNumberFormat="1" applyFont="1" applyBorder="1" applyProtection="1"/>
    <xf numFmtId="166" fontId="4" fillId="0" borderId="10" xfId="1" applyNumberFormat="1" applyFont="1" applyBorder="1" applyProtection="1"/>
    <xf numFmtId="166" fontId="19" fillId="0" borderId="0" xfId="1" applyNumberFormat="1" applyFont="1" applyBorder="1" applyProtection="1"/>
    <xf numFmtId="166" fontId="7" fillId="0" borderId="0" xfId="1" applyNumberFormat="1" applyFont="1" applyBorder="1" applyProtection="1"/>
    <xf numFmtId="166" fontId="17" fillId="0" borderId="0" xfId="1" applyNumberFormat="1" applyFont="1" applyBorder="1" applyProtection="1"/>
    <xf numFmtId="0" fontId="0" fillId="0" borderId="3" xfId="0" applyBorder="1"/>
    <xf numFmtId="166" fontId="17" fillId="0" borderId="0" xfId="1" applyNumberFormat="1" applyFont="1" applyBorder="1" applyAlignment="1" applyProtection="1">
      <alignment horizontal="center"/>
    </xf>
    <xf numFmtId="0" fontId="16" fillId="3" borderId="0" xfId="0" applyFont="1" applyFill="1" applyAlignment="1">
      <alignment horizontal="center"/>
    </xf>
    <xf numFmtId="166" fontId="3" fillId="3" borderId="0" xfId="1" quotePrefix="1" applyNumberFormat="1" applyFont="1" applyFill="1" applyBorder="1" applyProtection="1">
      <protection locked="0"/>
    </xf>
    <xf numFmtId="166" fontId="3" fillId="3" borderId="0" xfId="1" applyNumberFormat="1" applyFont="1" applyFill="1" applyBorder="1" applyProtection="1">
      <protection locked="0"/>
    </xf>
    <xf numFmtId="166" fontId="3" fillId="3" borderId="0" xfId="1" applyNumberFormat="1" applyFont="1" applyFill="1" applyBorder="1" applyProtection="1"/>
    <xf numFmtId="166" fontId="9" fillId="3" borderId="0" xfId="1" applyNumberFormat="1" applyFont="1" applyFill="1" applyBorder="1" applyProtection="1"/>
    <xf numFmtId="166" fontId="10" fillId="3" borderId="0" xfId="1" applyNumberFormat="1" applyFont="1" applyFill="1" applyBorder="1" applyProtection="1">
      <protection locked="0"/>
    </xf>
    <xf numFmtId="166" fontId="18" fillId="3" borderId="0" xfId="1" applyNumberFormat="1" applyFont="1" applyFill="1" applyBorder="1" applyProtection="1">
      <protection locked="0"/>
    </xf>
    <xf numFmtId="166" fontId="8" fillId="3" borderId="0" xfId="1" applyNumberFormat="1" applyFont="1" applyFill="1" applyBorder="1" applyProtection="1"/>
    <xf numFmtId="166" fontId="1" fillId="3" borderId="0" xfId="1" applyNumberFormat="1" applyFont="1" applyFill="1" applyBorder="1" applyProtection="1"/>
    <xf numFmtId="166" fontId="16" fillId="3" borderId="0" xfId="1" applyNumberFormat="1" applyFont="1" applyFill="1" applyBorder="1" applyProtection="1"/>
    <xf numFmtId="166" fontId="1" fillId="3" borderId="6" xfId="1" applyNumberFormat="1" applyFont="1" applyFill="1" applyBorder="1" applyProtection="1"/>
    <xf numFmtId="166" fontId="17" fillId="3" borderId="4" xfId="1" applyNumberFormat="1" applyFont="1" applyFill="1" applyBorder="1" applyAlignment="1" applyProtection="1">
      <alignment horizontal="center"/>
    </xf>
    <xf numFmtId="166" fontId="4" fillId="3" borderId="4" xfId="1" applyNumberFormat="1" applyFont="1" applyFill="1" applyBorder="1" applyProtection="1"/>
    <xf numFmtId="166" fontId="4" fillId="3" borderId="9" xfId="1" applyNumberFormat="1" applyFont="1" applyFill="1" applyBorder="1" applyProtection="1"/>
    <xf numFmtId="166" fontId="7" fillId="3" borderId="4" xfId="1" applyNumberFormat="1" applyFont="1" applyFill="1" applyBorder="1" applyProtection="1"/>
    <xf numFmtId="166" fontId="17" fillId="3" borderId="4" xfId="1" applyNumberFormat="1" applyFont="1" applyFill="1" applyBorder="1" applyProtection="1"/>
    <xf numFmtId="0" fontId="16" fillId="4" borderId="0" xfId="0" applyFont="1" applyFill="1" applyAlignment="1">
      <alignment horizontal="center"/>
    </xf>
    <xf numFmtId="166" fontId="3" fillId="4" borderId="0" xfId="1" quotePrefix="1" applyNumberFormat="1" applyFont="1" applyFill="1" applyBorder="1" applyProtection="1">
      <protection locked="0"/>
    </xf>
    <xf numFmtId="166" fontId="3" fillId="4" borderId="0" xfId="1" applyNumberFormat="1" applyFont="1" applyFill="1" applyBorder="1" applyProtection="1">
      <protection locked="0"/>
    </xf>
    <xf numFmtId="166" fontId="3" fillId="4" borderId="0" xfId="1" applyNumberFormat="1" applyFont="1" applyFill="1" applyBorder="1" applyProtection="1"/>
    <xf numFmtId="166" fontId="3" fillId="4" borderId="10" xfId="1" applyNumberFormat="1" applyFont="1" applyFill="1" applyBorder="1" applyProtection="1"/>
    <xf numFmtId="166" fontId="9" fillId="4" borderId="0" xfId="1" applyNumberFormat="1" applyFont="1" applyFill="1" applyBorder="1" applyProtection="1"/>
    <xf numFmtId="166" fontId="10" fillId="4" borderId="0" xfId="1" applyNumberFormat="1" applyFont="1" applyFill="1" applyBorder="1" applyProtection="1">
      <protection locked="0"/>
    </xf>
    <xf numFmtId="166" fontId="18" fillId="4" borderId="0" xfId="1" applyNumberFormat="1" applyFont="1" applyFill="1" applyBorder="1" applyProtection="1">
      <protection locked="0"/>
    </xf>
    <xf numFmtId="166" fontId="14" fillId="4" borderId="0" xfId="1" applyNumberFormat="1" applyFont="1" applyFill="1" applyBorder="1" applyProtection="1">
      <protection locked="0"/>
    </xf>
    <xf numFmtId="166" fontId="5" fillId="4" borderId="0" xfId="1" applyNumberFormat="1" applyFont="1" applyFill="1" applyBorder="1" applyProtection="1">
      <protection locked="0"/>
    </xf>
    <xf numFmtId="166" fontId="8" fillId="4" borderId="0" xfId="1" applyNumberFormat="1" applyFont="1" applyFill="1" applyBorder="1" applyProtection="1"/>
    <xf numFmtId="166" fontId="1" fillId="4" borderId="0" xfId="1" applyNumberFormat="1" applyFont="1" applyFill="1" applyBorder="1" applyProtection="1"/>
    <xf numFmtId="166" fontId="16" fillId="4" borderId="0" xfId="1" applyNumberFormat="1" applyFont="1" applyFill="1" applyBorder="1" applyProtection="1"/>
    <xf numFmtId="166" fontId="1" fillId="4" borderId="6" xfId="1" applyNumberFormat="1" applyFont="1" applyFill="1" applyBorder="1" applyProtection="1"/>
    <xf numFmtId="166" fontId="17" fillId="4" borderId="4" xfId="1" applyNumberFormat="1" applyFont="1" applyFill="1" applyBorder="1" applyAlignment="1" applyProtection="1">
      <alignment horizontal="center"/>
    </xf>
    <xf numFmtId="166" fontId="4" fillId="4" borderId="4" xfId="1" applyNumberFormat="1" applyFont="1" applyFill="1" applyBorder="1" applyProtection="1"/>
    <xf numFmtId="166" fontId="4" fillId="4" borderId="9" xfId="1" applyNumberFormat="1" applyFont="1" applyFill="1" applyBorder="1" applyProtection="1"/>
    <xf numFmtId="166" fontId="7" fillId="4" borderId="4" xfId="1" applyNumberFormat="1" applyFont="1" applyFill="1" applyBorder="1" applyProtection="1"/>
    <xf numFmtId="166" fontId="17" fillId="4" borderId="4" xfId="1" applyNumberFormat="1" applyFont="1" applyFill="1" applyBorder="1" applyProtection="1"/>
    <xf numFmtId="0" fontId="2" fillId="0" borderId="0" xfId="3"/>
    <xf numFmtId="166" fontId="2" fillId="0" borderId="0" xfId="1" applyNumberFormat="1" applyFont="1" applyProtection="1"/>
    <xf numFmtId="165" fontId="18" fillId="0" borderId="0" xfId="2" applyNumberFormat="1" applyFont="1" applyProtection="1"/>
    <xf numFmtId="0" fontId="1" fillId="0" borderId="0" xfId="3" applyFont="1"/>
    <xf numFmtId="0" fontId="1" fillId="0" borderId="3" xfId="3" applyFont="1" applyBorder="1" applyAlignment="1">
      <alignment horizontal="center"/>
    </xf>
    <xf numFmtId="0" fontId="2" fillId="0" borderId="0" xfId="3" applyAlignment="1">
      <alignment horizontal="center"/>
    </xf>
    <xf numFmtId="0" fontId="2" fillId="0" borderId="0" xfId="3" applyAlignment="1">
      <alignment horizontal="left"/>
    </xf>
    <xf numFmtId="1" fontId="2" fillId="0" borderId="0" xfId="3" applyNumberFormat="1" applyAlignment="1">
      <alignment horizontal="left"/>
    </xf>
    <xf numFmtId="1" fontId="2" fillId="0" borderId="0" xfId="3" applyNumberFormat="1"/>
    <xf numFmtId="10" fontId="2" fillId="0" borderId="0" xfId="2" applyNumberFormat="1" applyFont="1" applyFill="1" applyBorder="1" applyProtection="1"/>
    <xf numFmtId="0" fontId="1" fillId="0" borderId="0" xfId="3" applyFont="1" applyAlignment="1">
      <alignment horizontal="left"/>
    </xf>
    <xf numFmtId="1" fontId="1" fillId="0" borderId="0" xfId="3" applyNumberFormat="1" applyFont="1" applyAlignment="1">
      <alignment horizontal="left"/>
    </xf>
    <xf numFmtId="0" fontId="2" fillId="0" borderId="3" xfId="3" applyBorder="1" applyAlignment="1">
      <alignment horizontal="center"/>
    </xf>
    <xf numFmtId="1" fontId="1" fillId="0" borderId="10" xfId="3" applyNumberFormat="1" applyFont="1" applyBorder="1" applyAlignment="1">
      <alignment horizontal="left"/>
    </xf>
    <xf numFmtId="1" fontId="1" fillId="0" borderId="0" xfId="3" applyNumberFormat="1" applyFont="1"/>
    <xf numFmtId="166" fontId="5" fillId="0" borderId="0" xfId="1" applyNumberFormat="1" applyFont="1" applyBorder="1" applyProtection="1"/>
    <xf numFmtId="166" fontId="2" fillId="0" borderId="0" xfId="1" applyNumberFormat="1" applyFont="1" applyBorder="1" applyProtection="1">
      <protection locked="0"/>
    </xf>
    <xf numFmtId="1" fontId="16" fillId="0" borderId="0" xfId="3" applyNumberFormat="1" applyFont="1"/>
    <xf numFmtId="0" fontId="22" fillId="0" borderId="0" xfId="3" applyFont="1" applyAlignment="1">
      <alignment horizontal="right"/>
    </xf>
    <xf numFmtId="166" fontId="22" fillId="0" borderId="0" xfId="1" applyNumberFormat="1" applyFont="1" applyBorder="1" applyProtection="1"/>
    <xf numFmtId="166" fontId="23" fillId="0" borderId="4" xfId="1" applyNumberFormat="1" applyFont="1" applyBorder="1" applyProtection="1"/>
    <xf numFmtId="0" fontId="1" fillId="0" borderId="5" xfId="3" applyFont="1" applyBorder="1" applyAlignment="1">
      <alignment horizontal="center"/>
    </xf>
    <xf numFmtId="0" fontId="1" fillId="0" borderId="6" xfId="3" applyFont="1" applyBorder="1" applyAlignment="1">
      <alignment horizontal="left"/>
    </xf>
    <xf numFmtId="1" fontId="2" fillId="0" borderId="6" xfId="3" applyNumberFormat="1" applyBorder="1"/>
    <xf numFmtId="1" fontId="2" fillId="2" borderId="2" xfId="3" applyNumberFormat="1" applyFill="1" applyBorder="1"/>
    <xf numFmtId="0" fontId="2" fillId="2" borderId="2" xfId="3" applyFill="1" applyBorder="1"/>
    <xf numFmtId="164" fontId="2" fillId="2" borderId="2" xfId="2" applyNumberFormat="1" applyFont="1" applyFill="1" applyBorder="1" applyProtection="1"/>
    <xf numFmtId="1" fontId="2" fillId="2" borderId="6" xfId="3" applyNumberFormat="1" applyFill="1" applyBorder="1"/>
    <xf numFmtId="0" fontId="2" fillId="2" borderId="6" xfId="3" applyFill="1" applyBorder="1"/>
    <xf numFmtId="0" fontId="1" fillId="0" borderId="0" xfId="3" applyFont="1" applyAlignment="1">
      <alignment horizontal="center"/>
    </xf>
    <xf numFmtId="166" fontId="7" fillId="3" borderId="8" xfId="1" applyNumberFormat="1" applyFont="1" applyFill="1" applyBorder="1" applyProtection="1"/>
    <xf numFmtId="166" fontId="16" fillId="0" borderId="0" xfId="1" applyNumberFormat="1" applyFont="1" applyBorder="1" applyAlignment="1" applyProtection="1">
      <alignment horizontal="center"/>
    </xf>
    <xf numFmtId="0" fontId="24" fillId="0" borderId="0" xfId="4"/>
    <xf numFmtId="166" fontId="7" fillId="0" borderId="6" xfId="1" applyNumberFormat="1" applyFont="1" applyBorder="1" applyProtection="1"/>
    <xf numFmtId="166" fontId="7" fillId="4" borderId="8" xfId="1" applyNumberFormat="1" applyFont="1" applyFill="1" applyBorder="1" applyProtection="1"/>
    <xf numFmtId="42" fontId="21" fillId="2" borderId="8" xfId="1" applyNumberFormat="1" applyFont="1" applyFill="1" applyBorder="1" applyProtection="1"/>
    <xf numFmtId="42" fontId="3" fillId="2" borderId="6" xfId="1" applyNumberFormat="1" applyFont="1" applyFill="1" applyBorder="1" applyProtection="1"/>
    <xf numFmtId="42" fontId="21" fillId="2" borderId="6" xfId="1" applyNumberFormat="1" applyFont="1" applyFill="1" applyBorder="1" applyProtection="1"/>
    <xf numFmtId="164" fontId="18" fillId="0" borderId="0" xfId="2" applyNumberFormat="1" applyFont="1" applyAlignment="1" applyProtection="1"/>
    <xf numFmtId="0" fontId="2" fillId="0" borderId="0" xfId="0" applyFont="1" applyAlignment="1">
      <alignment horizontal="left"/>
    </xf>
    <xf numFmtId="1" fontId="25" fillId="0" borderId="0" xfId="0" applyNumberFormat="1" applyFont="1" applyAlignment="1">
      <alignment horizontal="left"/>
    </xf>
    <xf numFmtId="10" fontId="25" fillId="5" borderId="0" xfId="2" applyNumberFormat="1" applyFont="1" applyFill="1" applyBorder="1" applyProtection="1">
      <protection locked="0"/>
    </xf>
    <xf numFmtId="0" fontId="27" fillId="0" borderId="1" xfId="0" applyFont="1" applyBorder="1" applyAlignment="1">
      <alignment horizontal="left" vertical="center"/>
    </xf>
    <xf numFmtId="0" fontId="25" fillId="0" borderId="2" xfId="0" applyFont="1" applyBorder="1" applyAlignment="1">
      <alignment horizontal="center"/>
    </xf>
    <xf numFmtId="0" fontId="25" fillId="0" borderId="2" xfId="0" applyFont="1" applyBorder="1" applyAlignment="1">
      <alignment vertical="center"/>
    </xf>
    <xf numFmtId="10" fontId="28" fillId="0" borderId="7" xfId="2" applyNumberFormat="1" applyFont="1" applyBorder="1" applyAlignment="1" applyProtection="1">
      <alignment horizontal="left" vertical="center"/>
    </xf>
    <xf numFmtId="0" fontId="27" fillId="0" borderId="3" xfId="0" applyFont="1" applyBorder="1" applyAlignment="1">
      <alignment vertical="center"/>
    </xf>
    <xf numFmtId="166" fontId="26" fillId="0" borderId="0" xfId="1" applyNumberFormat="1" applyFont="1" applyBorder="1" applyProtection="1"/>
    <xf numFmtId="10" fontId="28" fillId="0" borderId="4" xfId="2" applyNumberFormat="1" applyFont="1" applyBorder="1" applyAlignment="1" applyProtection="1">
      <alignment horizontal="left" vertical="center"/>
    </xf>
    <xf numFmtId="0" fontId="25" fillId="0" borderId="0" xfId="0" applyFont="1" applyAlignment="1">
      <alignment vertical="center"/>
    </xf>
    <xf numFmtId="10" fontId="28" fillId="0" borderId="4" xfId="0" applyNumberFormat="1" applyFont="1" applyBorder="1" applyAlignment="1">
      <alignment horizontal="left" vertical="center"/>
    </xf>
    <xf numFmtId="166" fontId="30" fillId="0" borderId="6" xfId="1" applyNumberFormat="1" applyFont="1" applyBorder="1" applyAlignment="1" applyProtection="1">
      <alignment horizontal="right" vertical="center"/>
    </xf>
    <xf numFmtId="166" fontId="26" fillId="0" borderId="6" xfId="1" applyNumberFormat="1" applyFont="1" applyBorder="1" applyAlignment="1" applyProtection="1">
      <alignment vertical="center"/>
    </xf>
    <xf numFmtId="0" fontId="27" fillId="0" borderId="6" xfId="0" applyFont="1" applyBorder="1" applyAlignment="1">
      <alignment horizontal="right" vertical="center"/>
    </xf>
    <xf numFmtId="10" fontId="28" fillId="0" borderId="8" xfId="2" applyNumberFormat="1" applyFont="1" applyBorder="1" applyAlignment="1" applyProtection="1">
      <alignment horizontal="left" vertical="center"/>
    </xf>
    <xf numFmtId="167" fontId="0" fillId="0" borderId="0" xfId="0" applyNumberFormat="1"/>
    <xf numFmtId="1" fontId="2" fillId="0" borderId="0" xfId="0" applyNumberFormat="1" applyFont="1" applyAlignment="1">
      <alignment horizontal="left"/>
    </xf>
    <xf numFmtId="0" fontId="2" fillId="0" borderId="0" xfId="0" applyFont="1" applyAlignment="1">
      <alignment horizontal="center"/>
    </xf>
    <xf numFmtId="0" fontId="1" fillId="0" borderId="0" xfId="0" applyFont="1" applyAlignment="1">
      <alignment horizontal="left"/>
    </xf>
    <xf numFmtId="1" fontId="1" fillId="0" borderId="0" xfId="0" applyNumberFormat="1" applyFont="1"/>
    <xf numFmtId="1" fontId="2" fillId="2" borderId="2" xfId="0" applyNumberFormat="1" applyFont="1" applyFill="1" applyBorder="1"/>
    <xf numFmtId="0" fontId="2" fillId="2" borderId="2" xfId="0" applyFont="1" applyFill="1" applyBorder="1"/>
    <xf numFmtId="1" fontId="2" fillId="2" borderId="6" xfId="0" applyNumberFormat="1" applyFont="1" applyFill="1" applyBorder="1"/>
    <xf numFmtId="0" fontId="2" fillId="2" borderId="6" xfId="0" applyFont="1" applyFill="1" applyBorder="1"/>
    <xf numFmtId="166" fontId="8" fillId="0" borderId="0" xfId="1" applyNumberFormat="1" applyFont="1" applyFill="1" applyBorder="1" applyProtection="1"/>
    <xf numFmtId="10" fontId="28" fillId="0" borderId="0" xfId="2" applyNumberFormat="1" applyFont="1" applyBorder="1" applyAlignment="1" applyProtection="1">
      <alignment horizontal="left" vertical="center"/>
    </xf>
    <xf numFmtId="10" fontId="28" fillId="0" borderId="0" xfId="0" applyNumberFormat="1" applyFont="1" applyAlignment="1">
      <alignment horizontal="left" vertical="center"/>
    </xf>
    <xf numFmtId="166" fontId="26" fillId="0" borderId="2" xfId="1" applyNumberFormat="1" applyFont="1" applyBorder="1" applyProtection="1"/>
    <xf numFmtId="166" fontId="26" fillId="6" borderId="0" xfId="1" quotePrefix="1" applyNumberFormat="1" applyFont="1" applyFill="1" applyBorder="1" applyProtection="1">
      <protection locked="0"/>
    </xf>
    <xf numFmtId="166" fontId="36" fillId="6" borderId="4" xfId="1" applyNumberFormat="1" applyFont="1" applyFill="1" applyBorder="1" applyProtection="1"/>
    <xf numFmtId="0" fontId="27" fillId="0" borderId="1" xfId="3" applyFont="1" applyBorder="1" applyAlignment="1">
      <alignment horizontal="left" vertical="center"/>
    </xf>
    <xf numFmtId="0" fontId="25" fillId="0" borderId="2" xfId="3" applyFont="1" applyBorder="1" applyAlignment="1">
      <alignment horizontal="center"/>
    </xf>
    <xf numFmtId="0" fontId="25" fillId="0" borderId="2" xfId="3" applyFont="1" applyBorder="1" applyAlignment="1">
      <alignment vertical="center"/>
    </xf>
    <xf numFmtId="0" fontId="27" fillId="0" borderId="3" xfId="3" applyFont="1" applyBorder="1" applyAlignment="1">
      <alignment vertical="center"/>
    </xf>
    <xf numFmtId="10" fontId="25" fillId="0" borderId="0" xfId="2" applyNumberFormat="1" applyFont="1" applyFill="1" applyBorder="1" applyAlignment="1" applyProtection="1">
      <alignment vertical="center"/>
      <protection locked="0"/>
    </xf>
    <xf numFmtId="0" fontId="25" fillId="0" borderId="0" xfId="3" applyFont="1" applyAlignment="1">
      <alignment vertical="center"/>
    </xf>
    <xf numFmtId="166" fontId="25" fillId="0" borderId="0" xfId="1" applyNumberFormat="1" applyFont="1" applyBorder="1" applyProtection="1"/>
    <xf numFmtId="165" fontId="27" fillId="0" borderId="0" xfId="2" applyNumberFormat="1" applyFont="1" applyFill="1" applyBorder="1" applyAlignment="1" applyProtection="1">
      <alignment vertical="top" wrapText="1"/>
    </xf>
    <xf numFmtId="0" fontId="27" fillId="0" borderId="0" xfId="3" applyFont="1"/>
    <xf numFmtId="1" fontId="25" fillId="0" borderId="0" xfId="3" applyNumberFormat="1" applyFont="1" applyAlignment="1">
      <alignment horizontal="left"/>
    </xf>
    <xf numFmtId="166" fontId="36" fillId="6" borderId="0" xfId="1" applyNumberFormat="1" applyFont="1" applyFill="1" applyBorder="1" applyProtection="1"/>
    <xf numFmtId="166" fontId="26" fillId="8" borderId="0" xfId="1" quotePrefix="1" applyNumberFormat="1" applyFont="1" applyFill="1" applyBorder="1" applyProtection="1">
      <protection locked="0"/>
    </xf>
    <xf numFmtId="166" fontId="36" fillId="8" borderId="4" xfId="1" applyNumberFormat="1" applyFont="1" applyFill="1" applyBorder="1" applyProtection="1"/>
    <xf numFmtId="0" fontId="25" fillId="0" borderId="0" xfId="0" applyFont="1" applyAlignment="1">
      <alignment horizontal="center"/>
    </xf>
    <xf numFmtId="0" fontId="27" fillId="0" borderId="19" xfId="0" applyFont="1" applyBorder="1" applyAlignment="1">
      <alignment vertical="center"/>
    </xf>
    <xf numFmtId="166" fontId="30" fillId="0" borderId="17" xfId="1" applyNumberFormat="1" applyFont="1" applyBorder="1" applyProtection="1"/>
    <xf numFmtId="0" fontId="37" fillId="0" borderId="2" xfId="0" applyFont="1" applyBorder="1" applyAlignment="1">
      <alignment horizontal="left" vertical="center"/>
    </xf>
    <xf numFmtId="0" fontId="37" fillId="0" borderId="7" xfId="0" applyFont="1" applyBorder="1" applyAlignment="1">
      <alignment horizontal="left" vertical="center"/>
    </xf>
    <xf numFmtId="166" fontId="36" fillId="11" borderId="4" xfId="1" applyNumberFormat="1" applyFont="1" applyFill="1" applyBorder="1" applyProtection="1"/>
    <xf numFmtId="166" fontId="26" fillId="11" borderId="0" xfId="1" quotePrefix="1" applyNumberFormat="1" applyFont="1" applyFill="1" applyBorder="1" applyProtection="1">
      <protection locked="0"/>
    </xf>
    <xf numFmtId="166" fontId="26" fillId="0" borderId="0" xfId="1" applyNumberFormat="1" applyFont="1" applyBorder="1" applyAlignment="1" applyProtection="1">
      <alignment vertical="center"/>
    </xf>
    <xf numFmtId="166" fontId="30" fillId="0" borderId="0" xfId="1" applyNumberFormat="1" applyFont="1" applyBorder="1" applyAlignment="1" applyProtection="1">
      <alignment horizontal="right" vertical="center"/>
    </xf>
    <xf numFmtId="0" fontId="0" fillId="0" borderId="20" xfId="0" applyBorder="1"/>
    <xf numFmtId="0" fontId="35" fillId="0" borderId="0" xfId="0" applyFont="1" applyAlignment="1">
      <alignment vertical="top" wrapText="1"/>
    </xf>
    <xf numFmtId="0" fontId="27" fillId="0" borderId="0" xfId="0" applyFont="1" applyAlignment="1">
      <alignment horizontal="right" vertical="center"/>
    </xf>
    <xf numFmtId="0" fontId="2" fillId="0" borderId="0" xfId="0" applyFont="1" applyAlignment="1">
      <alignment vertical="top" wrapText="1"/>
    </xf>
    <xf numFmtId="166" fontId="36" fillId="6" borderId="9" xfId="1" applyNumberFormat="1" applyFont="1" applyFill="1" applyBorder="1" applyProtection="1"/>
    <xf numFmtId="0" fontId="1" fillId="0" borderId="10" xfId="0" applyFont="1" applyBorder="1" applyAlignment="1">
      <alignment horizontal="left"/>
    </xf>
    <xf numFmtId="1" fontId="2" fillId="0" borderId="0" xfId="0" applyNumberFormat="1" applyFont="1" applyAlignment="1">
      <alignment horizontal="left" indent="1"/>
    </xf>
    <xf numFmtId="166" fontId="2" fillId="0" borderId="10" xfId="1" applyNumberFormat="1" applyFont="1" applyBorder="1" applyProtection="1">
      <protection locked="0"/>
    </xf>
    <xf numFmtId="1" fontId="16" fillId="0" borderId="10" xfId="0" applyNumberFormat="1" applyFont="1" applyBorder="1" applyAlignment="1">
      <alignment horizontal="left" indent="1"/>
    </xf>
    <xf numFmtId="0" fontId="1" fillId="0" borderId="0" xfId="0" applyFont="1" applyAlignment="1">
      <alignment horizontal="right"/>
    </xf>
    <xf numFmtId="0" fontId="39" fillId="0" borderId="0" xfId="4" applyFont="1" applyBorder="1" applyAlignment="1" applyProtection="1">
      <alignment horizontal="left" vertical="center" indent="1"/>
    </xf>
    <xf numFmtId="0" fontId="25" fillId="0" borderId="0" xfId="0" applyFont="1" applyAlignment="1">
      <alignment horizontal="left" vertical="center" indent="1"/>
    </xf>
    <xf numFmtId="0" fontId="1" fillId="0" borderId="0" xfId="0" applyFont="1" applyAlignment="1">
      <alignment vertical="center"/>
    </xf>
    <xf numFmtId="0" fontId="1" fillId="0" borderId="4" xfId="0" applyFont="1" applyBorder="1"/>
    <xf numFmtId="1" fontId="2" fillId="0" borderId="0" xfId="4" applyNumberFormat="1" applyFont="1" applyBorder="1" applyAlignment="1" applyProtection="1">
      <alignment horizontal="left" indent="1"/>
    </xf>
    <xf numFmtId="166" fontId="30" fillId="0" borderId="0" xfId="1" applyNumberFormat="1" applyFont="1" applyBorder="1" applyAlignment="1" applyProtection="1">
      <alignment horizontal="right" vertical="top"/>
    </xf>
    <xf numFmtId="166" fontId="26" fillId="0" borderId="0" xfId="1" applyNumberFormat="1" applyFont="1" applyBorder="1" applyAlignment="1" applyProtection="1">
      <alignment vertical="top"/>
    </xf>
    <xf numFmtId="0" fontId="25" fillId="0" borderId="0" xfId="0" applyFont="1" applyAlignment="1">
      <alignment horizontal="left" vertical="top" indent="1"/>
    </xf>
    <xf numFmtId="10" fontId="14" fillId="6" borderId="10" xfId="2" applyNumberFormat="1" applyFont="1" applyFill="1" applyBorder="1" applyProtection="1"/>
    <xf numFmtId="1" fontId="14" fillId="6" borderId="10" xfId="0" applyNumberFormat="1" applyFont="1" applyFill="1" applyBorder="1"/>
    <xf numFmtId="166" fontId="3" fillId="0" borderId="10" xfId="1" applyNumberFormat="1" applyFont="1" applyBorder="1" applyProtection="1">
      <protection locked="0"/>
    </xf>
    <xf numFmtId="166" fontId="2" fillId="3" borderId="0" xfId="1" applyNumberFormat="1" applyFont="1" applyFill="1" applyBorder="1" applyProtection="1">
      <protection locked="0"/>
    </xf>
    <xf numFmtId="166" fontId="2" fillId="3" borderId="10" xfId="1" applyNumberFormat="1" applyFont="1" applyFill="1" applyBorder="1" applyProtection="1">
      <protection locked="0"/>
    </xf>
    <xf numFmtId="166" fontId="18" fillId="0" borderId="0" xfId="1" applyNumberFormat="1" applyFont="1" applyBorder="1" applyProtection="1"/>
    <xf numFmtId="166" fontId="18" fillId="3" borderId="4" xfId="1" applyNumberFormat="1" applyFont="1" applyFill="1" applyBorder="1" applyProtection="1"/>
    <xf numFmtId="166" fontId="3" fillId="3" borderId="10" xfId="1" applyNumberFormat="1" applyFont="1" applyFill="1" applyBorder="1" applyProtection="1">
      <protection locked="0"/>
    </xf>
    <xf numFmtId="166" fontId="4" fillId="0" borderId="0" xfId="1" applyNumberFormat="1" applyFont="1" applyFill="1" applyBorder="1" applyProtection="1"/>
    <xf numFmtId="166" fontId="4" fillId="0" borderId="4" xfId="1" applyNumberFormat="1" applyFont="1" applyFill="1" applyBorder="1" applyProtection="1"/>
    <xf numFmtId="166" fontId="16" fillId="0" borderId="0" xfId="1" applyNumberFormat="1" applyFont="1" applyFill="1" applyBorder="1" applyAlignment="1" applyProtection="1">
      <alignment horizontal="center"/>
    </xf>
    <xf numFmtId="0" fontId="16" fillId="0" borderId="0" xfId="0" applyFont="1" applyAlignment="1">
      <alignment horizontal="center"/>
    </xf>
    <xf numFmtId="166" fontId="17" fillId="0" borderId="0" xfId="1" applyNumberFormat="1" applyFont="1" applyFill="1" applyBorder="1" applyAlignment="1" applyProtection="1">
      <alignment horizontal="center"/>
    </xf>
    <xf numFmtId="166" fontId="17" fillId="0" borderId="4" xfId="1" applyNumberFormat="1" applyFont="1" applyFill="1" applyBorder="1" applyAlignment="1" applyProtection="1">
      <alignment horizontal="center"/>
    </xf>
    <xf numFmtId="166" fontId="7" fillId="0" borderId="0" xfId="1" applyNumberFormat="1" applyFont="1" applyFill="1" applyBorder="1" applyProtection="1"/>
    <xf numFmtId="166" fontId="7" fillId="0" borderId="4" xfId="1" applyNumberFormat="1" applyFont="1" applyFill="1" applyBorder="1" applyProtection="1"/>
    <xf numFmtId="166" fontId="10" fillId="0" borderId="0" xfId="1" applyNumberFormat="1" applyFont="1" applyFill="1" applyBorder="1" applyProtection="1"/>
    <xf numFmtId="166" fontId="3" fillId="0" borderId="0" xfId="1" applyNumberFormat="1" applyFont="1" applyFill="1" applyBorder="1" applyProtection="1">
      <protection locked="0"/>
    </xf>
    <xf numFmtId="166" fontId="16" fillId="0" borderId="0" xfId="1" applyNumberFormat="1" applyFont="1" applyFill="1" applyBorder="1" applyProtection="1"/>
    <xf numFmtId="166" fontId="17" fillId="0" borderId="0" xfId="1" applyNumberFormat="1" applyFont="1" applyFill="1" applyBorder="1" applyProtection="1"/>
    <xf numFmtId="166" fontId="17" fillId="0" borderId="4" xfId="1" applyNumberFormat="1" applyFont="1" applyFill="1" applyBorder="1" applyProtection="1"/>
    <xf numFmtId="0" fontId="25" fillId="0" borderId="6" xfId="0" applyFont="1" applyBorder="1" applyAlignment="1">
      <alignment horizontal="left" vertical="center" indent="1"/>
    </xf>
    <xf numFmtId="166" fontId="26" fillId="6" borderId="10" xfId="1" quotePrefix="1" applyNumberFormat="1" applyFont="1" applyFill="1" applyBorder="1" applyProtection="1">
      <protection locked="0"/>
    </xf>
    <xf numFmtId="0" fontId="0" fillId="0" borderId="21" xfId="0" applyBorder="1"/>
    <xf numFmtId="0" fontId="2" fillId="0" borderId="23" xfId="0" applyFont="1" applyBorder="1"/>
    <xf numFmtId="0" fontId="0" fillId="0" borderId="23" xfId="0" applyBorder="1"/>
    <xf numFmtId="0" fontId="0" fillId="0" borderId="22" xfId="0" applyBorder="1"/>
    <xf numFmtId="0" fontId="0" fillId="0" borderId="4" xfId="0" applyBorder="1"/>
    <xf numFmtId="166" fontId="1" fillId="0" borderId="0" xfId="1" applyNumberFormat="1" applyFont="1" applyBorder="1" applyProtection="1">
      <protection locked="0"/>
    </xf>
    <xf numFmtId="166" fontId="8" fillId="0" borderId="0" xfId="1" applyNumberFormat="1" applyFont="1" applyBorder="1" applyProtection="1">
      <protection locked="0"/>
    </xf>
    <xf numFmtId="166" fontId="1" fillId="3" borderId="0" xfId="1" applyNumberFormat="1" applyFont="1" applyFill="1" applyBorder="1" applyProtection="1">
      <protection locked="0"/>
    </xf>
    <xf numFmtId="0" fontId="27" fillId="0" borderId="0" xfId="3" applyFont="1" applyAlignment="1">
      <alignment horizontal="right" vertical="top"/>
    </xf>
    <xf numFmtId="0" fontId="2" fillId="0" borderId="4" xfId="3" applyBorder="1"/>
    <xf numFmtId="0" fontId="1" fillId="0" borderId="0" xfId="0" applyFont="1" applyAlignment="1">
      <alignment horizontal="left" indent="1"/>
    </xf>
    <xf numFmtId="166" fontId="4" fillId="6" borderId="9" xfId="1" applyNumberFormat="1" applyFont="1" applyFill="1" applyBorder="1" applyProtection="1"/>
    <xf numFmtId="166" fontId="3" fillId="6" borderId="10" xfId="1" applyNumberFormat="1" applyFont="1" applyFill="1" applyBorder="1" applyProtection="1"/>
    <xf numFmtId="0" fontId="0" fillId="0" borderId="0" xfId="0" applyAlignment="1">
      <alignment vertical="top"/>
    </xf>
    <xf numFmtId="1" fontId="2" fillId="6" borderId="10" xfId="3" applyNumberFormat="1" applyFill="1" applyBorder="1"/>
    <xf numFmtId="10" fontId="2" fillId="6" borderId="10" xfId="2" applyNumberFormat="1" applyFont="1" applyFill="1" applyBorder="1" applyProtection="1"/>
    <xf numFmtId="166" fontId="4" fillId="6" borderId="10" xfId="1" applyNumberFormat="1" applyFont="1" applyFill="1" applyBorder="1" applyProtection="1"/>
    <xf numFmtId="166" fontId="2" fillId="4" borderId="0" xfId="1" applyNumberFormat="1" applyFont="1" applyFill="1" applyBorder="1" applyProtection="1">
      <protection locked="0"/>
    </xf>
    <xf numFmtId="166" fontId="3" fillId="4" borderId="10" xfId="1" applyNumberFormat="1" applyFont="1" applyFill="1" applyBorder="1" applyProtection="1">
      <protection locked="0"/>
    </xf>
    <xf numFmtId="166" fontId="1" fillId="4" borderId="0" xfId="1" applyNumberFormat="1" applyFont="1" applyFill="1" applyBorder="1" applyProtection="1">
      <protection locked="0"/>
    </xf>
    <xf numFmtId="166" fontId="14" fillId="0" borderId="0" xfId="1" applyNumberFormat="1" applyFont="1" applyFill="1" applyBorder="1" applyProtection="1">
      <protection locked="0"/>
    </xf>
    <xf numFmtId="0" fontId="14" fillId="0" borderId="0" xfId="0" applyFont="1" applyAlignment="1">
      <alignment horizontal="left" indent="1"/>
    </xf>
    <xf numFmtId="10" fontId="25" fillId="0" borderId="0" xfId="2" applyNumberFormat="1" applyFont="1" applyFill="1" applyBorder="1" applyProtection="1">
      <protection locked="0"/>
    </xf>
    <xf numFmtId="166" fontId="26" fillId="0" borderId="0" xfId="1" quotePrefix="1" applyNumberFormat="1" applyFont="1" applyFill="1" applyBorder="1" applyProtection="1">
      <protection locked="0"/>
    </xf>
    <xf numFmtId="166" fontId="36" fillId="0" borderId="0" xfId="1" applyNumberFormat="1" applyFont="1" applyFill="1" applyBorder="1" applyProtection="1"/>
    <xf numFmtId="166" fontId="36" fillId="0" borderId="4" xfId="1" applyNumberFormat="1" applyFont="1" applyFill="1" applyBorder="1" applyProtection="1"/>
    <xf numFmtId="166" fontId="22" fillId="0" borderId="0" xfId="1" applyNumberFormat="1" applyFont="1" applyFill="1" applyBorder="1" applyAlignment="1" applyProtection="1">
      <alignment horizontal="left" vertical="center"/>
    </xf>
    <xf numFmtId="0" fontId="2" fillId="0" borderId="0" xfId="3" applyAlignment="1">
      <alignment horizontal="left" indent="1"/>
    </xf>
    <xf numFmtId="167" fontId="0" fillId="0" borderId="0" xfId="0" applyNumberFormat="1" applyAlignment="1">
      <alignment horizontal="center"/>
    </xf>
    <xf numFmtId="166" fontId="3" fillId="8" borderId="10" xfId="1" applyNumberFormat="1" applyFont="1" applyFill="1" applyBorder="1" applyProtection="1"/>
    <xf numFmtId="166" fontId="4" fillId="8" borderId="9" xfId="1" applyNumberFormat="1" applyFont="1" applyFill="1" applyBorder="1" applyProtection="1"/>
    <xf numFmtId="166" fontId="3" fillId="11" borderId="10" xfId="1" applyNumberFormat="1" applyFont="1" applyFill="1" applyBorder="1" applyProtection="1"/>
    <xf numFmtId="166" fontId="4" fillId="11" borderId="9" xfId="1" applyNumberFormat="1" applyFont="1" applyFill="1" applyBorder="1" applyProtection="1"/>
    <xf numFmtId="164" fontId="25" fillId="12" borderId="0" xfId="2" applyNumberFormat="1" applyFont="1" applyFill="1" applyBorder="1" applyAlignment="1" applyProtection="1">
      <alignment horizontal="right" vertical="center"/>
      <protection locked="0"/>
    </xf>
    <xf numFmtId="165" fontId="27" fillId="0" borderId="0" xfId="2" applyNumberFormat="1" applyFont="1" applyFill="1" applyBorder="1" applyAlignment="1" applyProtection="1">
      <alignment horizontal="right" vertical="top" wrapText="1"/>
    </xf>
    <xf numFmtId="10" fontId="25" fillId="0" borderId="0" xfId="2" applyNumberFormat="1" applyFont="1" applyFill="1" applyBorder="1" applyAlignment="1" applyProtection="1">
      <alignment horizontal="right" vertical="center"/>
      <protection locked="0"/>
    </xf>
    <xf numFmtId="0" fontId="27" fillId="0" borderId="0" xfId="3" applyFont="1" applyAlignment="1">
      <alignment vertical="top"/>
    </xf>
    <xf numFmtId="10" fontId="25" fillId="0" borderId="0" xfId="2" applyNumberFormat="1" applyFont="1" applyFill="1" applyBorder="1" applyAlignment="1" applyProtection="1">
      <alignment vertical="top"/>
      <protection locked="0"/>
    </xf>
    <xf numFmtId="0" fontId="40" fillId="0" borderId="0" xfId="0" applyFont="1" applyAlignment="1">
      <alignment horizontal="left" indent="1"/>
    </xf>
    <xf numFmtId="0" fontId="40" fillId="0" borderId="0" xfId="3" applyFont="1" applyAlignment="1">
      <alignment horizontal="left" indent="1"/>
    </xf>
    <xf numFmtId="167" fontId="40" fillId="0" borderId="0" xfId="0" applyNumberFormat="1" applyFont="1"/>
    <xf numFmtId="167" fontId="40" fillId="0" borderId="0" xfId="3" applyNumberFormat="1" applyFont="1"/>
    <xf numFmtId="0" fontId="1" fillId="0" borderId="2" xfId="0" applyFont="1" applyBorder="1"/>
    <xf numFmtId="167" fontId="26" fillId="0" borderId="0" xfId="1" applyNumberFormat="1" applyFont="1" applyBorder="1" applyProtection="1"/>
    <xf numFmtId="10" fontId="25" fillId="5" borderId="4" xfId="2" applyNumberFormat="1" applyFont="1" applyFill="1" applyBorder="1" applyAlignment="1" applyProtection="1">
      <alignment horizontal="left" vertical="center"/>
    </xf>
    <xf numFmtId="167" fontId="1" fillId="0" borderId="0" xfId="0" applyNumberFormat="1" applyFont="1"/>
    <xf numFmtId="166" fontId="32" fillId="0" borderId="0" xfId="1" applyNumberFormat="1" applyFont="1" applyBorder="1" applyAlignment="1" applyProtection="1">
      <alignment horizontal="center" vertical="top"/>
    </xf>
    <xf numFmtId="166" fontId="33" fillId="0" borderId="0" xfId="1" applyNumberFormat="1" applyFont="1" applyBorder="1" applyAlignment="1" applyProtection="1">
      <alignment horizontal="center" vertical="top"/>
    </xf>
    <xf numFmtId="166" fontId="34" fillId="0" borderId="0" xfId="1" applyNumberFormat="1" applyFont="1" applyBorder="1" applyAlignment="1" applyProtection="1">
      <alignment horizontal="center" vertical="top"/>
    </xf>
    <xf numFmtId="0" fontId="1" fillId="0" borderId="1" xfId="0" applyFont="1" applyBorder="1" applyAlignment="1">
      <alignment horizontal="center"/>
    </xf>
    <xf numFmtId="167" fontId="1" fillId="0" borderId="2" xfId="0" applyNumberFormat="1" applyFont="1" applyBorder="1" applyAlignment="1">
      <alignment horizontal="left"/>
    </xf>
    <xf numFmtId="167" fontId="1" fillId="5" borderId="0" xfId="0" applyNumberFormat="1" applyFont="1" applyFill="1" applyAlignment="1">
      <alignment horizontal="left"/>
    </xf>
    <xf numFmtId="2" fontId="40" fillId="5" borderId="0" xfId="0" applyNumberFormat="1" applyFont="1" applyFill="1" applyAlignment="1">
      <alignment horizontal="center"/>
    </xf>
    <xf numFmtId="2" fontId="40" fillId="0" borderId="4" xfId="0" applyNumberFormat="1" applyFont="1" applyBorder="1" applyAlignment="1">
      <alignment horizontal="left"/>
    </xf>
    <xf numFmtId="167" fontId="2" fillId="5" borderId="0" xfId="0" applyNumberFormat="1" applyFont="1" applyFill="1" applyAlignment="1">
      <alignment horizontal="left" indent="1"/>
    </xf>
    <xf numFmtId="167" fontId="40" fillId="5" borderId="0" xfId="0" applyNumberFormat="1" applyFont="1" applyFill="1" applyAlignment="1">
      <alignment horizontal="left" indent="1"/>
    </xf>
    <xf numFmtId="167" fontId="2" fillId="0" borderId="0" xfId="0" applyNumberFormat="1" applyFont="1" applyAlignment="1">
      <alignment horizontal="center"/>
    </xf>
    <xf numFmtId="0" fontId="1" fillId="6" borderId="3" xfId="0" applyFont="1" applyFill="1" applyBorder="1" applyAlignment="1">
      <alignment horizontal="center"/>
    </xf>
    <xf numFmtId="167" fontId="1" fillId="6" borderId="0" xfId="0" applyNumberFormat="1" applyFont="1" applyFill="1" applyAlignment="1">
      <alignment horizontal="right"/>
    </xf>
    <xf numFmtId="1" fontId="1" fillId="6" borderId="0" xfId="0" applyNumberFormat="1" applyFont="1" applyFill="1" applyAlignment="1">
      <alignment horizontal="left"/>
    </xf>
    <xf numFmtId="10" fontId="2" fillId="6" borderId="0" xfId="2" applyNumberFormat="1" applyFont="1" applyFill="1" applyBorder="1" applyProtection="1"/>
    <xf numFmtId="166" fontId="3" fillId="6" borderId="0" xfId="1" applyNumberFormat="1" applyFont="1" applyFill="1" applyBorder="1" applyProtection="1"/>
    <xf numFmtId="166" fontId="4" fillId="6" borderId="4" xfId="1" applyNumberFormat="1" applyFont="1" applyFill="1" applyBorder="1" applyProtection="1"/>
    <xf numFmtId="0" fontId="2" fillId="6" borderId="3" xfId="0" applyFont="1" applyFill="1" applyBorder="1" applyAlignment="1">
      <alignment horizontal="center"/>
    </xf>
    <xf numFmtId="167" fontId="2" fillId="6" borderId="0" xfId="0" applyNumberFormat="1" applyFont="1" applyFill="1"/>
    <xf numFmtId="1" fontId="2" fillId="6" borderId="0" xfId="0" applyNumberFormat="1" applyFont="1" applyFill="1"/>
    <xf numFmtId="0" fontId="2" fillId="6" borderId="5" xfId="0" applyFont="1" applyFill="1" applyBorder="1" applyAlignment="1">
      <alignment horizontal="center"/>
    </xf>
    <xf numFmtId="167" fontId="2" fillId="6" borderId="6" xfId="0" applyNumberFormat="1" applyFont="1" applyFill="1" applyBorder="1"/>
    <xf numFmtId="1" fontId="1" fillId="6" borderId="6" xfId="0" applyNumberFormat="1" applyFont="1" applyFill="1" applyBorder="1" applyAlignment="1">
      <alignment horizontal="left"/>
    </xf>
    <xf numFmtId="1" fontId="1" fillId="6" borderId="6" xfId="0" applyNumberFormat="1" applyFont="1" applyFill="1" applyBorder="1"/>
    <xf numFmtId="166" fontId="8" fillId="6" borderId="6" xfId="1" applyNumberFormat="1" applyFont="1" applyFill="1" applyBorder="1" applyProtection="1"/>
    <xf numFmtId="166" fontId="7" fillId="6" borderId="8" xfId="1" applyNumberFormat="1" applyFont="1" applyFill="1" applyBorder="1" applyProtection="1"/>
    <xf numFmtId="1" fontId="1" fillId="3" borderId="0" xfId="0" applyNumberFormat="1" applyFont="1" applyFill="1"/>
    <xf numFmtId="166" fontId="3" fillId="0" borderId="2" xfId="1" applyNumberFormat="1" applyFont="1" applyBorder="1" applyProtection="1"/>
    <xf numFmtId="166" fontId="4" fillId="0" borderId="7" xfId="1" applyNumberFormat="1" applyFont="1" applyBorder="1" applyProtection="1"/>
    <xf numFmtId="0" fontId="1" fillId="0" borderId="3" xfId="0" applyFont="1" applyBorder="1"/>
    <xf numFmtId="10" fontId="1" fillId="6" borderId="0" xfId="2" applyNumberFormat="1" applyFont="1" applyFill="1" applyBorder="1" applyProtection="1"/>
    <xf numFmtId="167" fontId="2" fillId="6" borderId="0" xfId="0" applyNumberFormat="1" applyFont="1" applyFill="1" applyAlignment="1">
      <alignment horizontal="left"/>
    </xf>
    <xf numFmtId="0" fontId="1" fillId="6" borderId="5" xfId="0" applyFont="1" applyFill="1" applyBorder="1" applyAlignment="1">
      <alignment horizontal="center"/>
    </xf>
    <xf numFmtId="167" fontId="2" fillId="6" borderId="6" xfId="0" applyNumberFormat="1" applyFont="1" applyFill="1" applyBorder="1" applyAlignment="1">
      <alignment horizontal="center"/>
    </xf>
    <xf numFmtId="0" fontId="1" fillId="3" borderId="3" xfId="0" applyFont="1" applyFill="1" applyBorder="1" applyAlignment="1">
      <alignment horizontal="center"/>
    </xf>
    <xf numFmtId="167" fontId="0" fillId="3" borderId="0" xfId="0" applyNumberFormat="1" applyFill="1"/>
    <xf numFmtId="1" fontId="2" fillId="3" borderId="0" xfId="0" applyNumberFormat="1" applyFont="1" applyFill="1"/>
    <xf numFmtId="0" fontId="1" fillId="6" borderId="1" xfId="0" applyFont="1" applyFill="1" applyBorder="1" applyAlignment="1">
      <alignment horizontal="center"/>
    </xf>
    <xf numFmtId="167" fontId="2" fillId="6" borderId="2" xfId="0" applyNumberFormat="1" applyFont="1" applyFill="1" applyBorder="1" applyAlignment="1">
      <alignment horizontal="center"/>
    </xf>
    <xf numFmtId="1" fontId="1" fillId="6" borderId="2" xfId="0" applyNumberFormat="1" applyFont="1" applyFill="1" applyBorder="1" applyAlignment="1">
      <alignment horizontal="left"/>
    </xf>
    <xf numFmtId="1" fontId="2" fillId="6" borderId="2" xfId="0" applyNumberFormat="1" applyFont="1" applyFill="1" applyBorder="1"/>
    <xf numFmtId="166" fontId="3" fillId="6" borderId="2" xfId="1" applyNumberFormat="1" applyFont="1" applyFill="1" applyBorder="1" applyProtection="1"/>
    <xf numFmtId="166" fontId="4" fillId="6" borderId="7" xfId="1" applyNumberFormat="1" applyFont="1" applyFill="1" applyBorder="1" applyProtection="1"/>
    <xf numFmtId="167" fontId="1" fillId="6" borderId="0" xfId="0" applyNumberFormat="1" applyFont="1" applyFill="1" applyAlignment="1">
      <alignment horizontal="left"/>
    </xf>
    <xf numFmtId="167" fontId="1" fillId="6" borderId="6" xfId="0" applyNumberFormat="1" applyFont="1" applyFill="1" applyBorder="1" applyAlignment="1">
      <alignment horizontal="left"/>
    </xf>
    <xf numFmtId="1" fontId="2" fillId="6" borderId="6" xfId="0" applyNumberFormat="1" applyFont="1" applyFill="1" applyBorder="1"/>
    <xf numFmtId="167" fontId="2" fillId="3" borderId="0" xfId="0" applyNumberFormat="1" applyFont="1" applyFill="1" applyAlignment="1">
      <alignment horizontal="center"/>
    </xf>
    <xf numFmtId="1" fontId="2" fillId="0" borderId="2" xfId="0" applyNumberFormat="1" applyFont="1" applyBorder="1"/>
    <xf numFmtId="167" fontId="25" fillId="5" borderId="0" xfId="0" applyNumberFormat="1" applyFont="1" applyFill="1" applyAlignment="1">
      <alignment horizontal="left" indent="1"/>
    </xf>
    <xf numFmtId="166" fontId="42" fillId="0" borderId="0" xfId="1" applyNumberFormat="1" applyFont="1" applyBorder="1" applyProtection="1"/>
    <xf numFmtId="166" fontId="36" fillId="0" borderId="4" xfId="1" applyNumberFormat="1" applyFont="1" applyBorder="1" applyProtection="1"/>
    <xf numFmtId="167" fontId="1" fillId="6" borderId="6" xfId="0" applyNumberFormat="1" applyFont="1" applyFill="1" applyBorder="1"/>
    <xf numFmtId="0" fontId="2" fillId="6" borderId="6" xfId="0" applyFont="1" applyFill="1" applyBorder="1" applyAlignment="1">
      <alignment horizontal="left"/>
    </xf>
    <xf numFmtId="166" fontId="5" fillId="6" borderId="6" xfId="1" applyNumberFormat="1" applyFont="1" applyFill="1" applyBorder="1" applyProtection="1">
      <protection locked="0"/>
    </xf>
    <xf numFmtId="166" fontId="4" fillId="6" borderId="8" xfId="1" applyNumberFormat="1" applyFont="1" applyFill="1" applyBorder="1" applyProtection="1"/>
    <xf numFmtId="0" fontId="2" fillId="0" borderId="2" xfId="0" applyFont="1" applyBorder="1"/>
    <xf numFmtId="166" fontId="3" fillId="0" borderId="2" xfId="1" applyNumberFormat="1" applyFont="1" applyBorder="1" applyProtection="1">
      <protection locked="0"/>
    </xf>
    <xf numFmtId="167" fontId="1" fillId="0" borderId="2" xfId="0" applyNumberFormat="1" applyFont="1" applyBorder="1"/>
    <xf numFmtId="0" fontId="0" fillId="0" borderId="2" xfId="0" applyBorder="1"/>
    <xf numFmtId="0" fontId="40" fillId="5" borderId="0" xfId="0" applyFont="1" applyFill="1" applyAlignment="1">
      <alignment horizontal="center"/>
    </xf>
    <xf numFmtId="166" fontId="40" fillId="0" borderId="4" xfId="1" applyNumberFormat="1" applyFont="1" applyBorder="1" applyAlignment="1" applyProtection="1">
      <alignment horizontal="center"/>
    </xf>
    <xf numFmtId="167" fontId="25" fillId="0" borderId="0" xfId="0" applyNumberFormat="1" applyFont="1" applyAlignment="1">
      <alignment horizontal="left" indent="1"/>
    </xf>
    <xf numFmtId="166" fontId="18" fillId="6" borderId="6" xfId="1" applyNumberFormat="1" applyFont="1" applyFill="1" applyBorder="1" applyProtection="1">
      <protection locked="0"/>
    </xf>
    <xf numFmtId="167" fontId="1" fillId="0" borderId="2" xfId="0" applyNumberFormat="1" applyFont="1" applyBorder="1" applyAlignment="1">
      <alignment vertical="center"/>
    </xf>
    <xf numFmtId="167" fontId="2" fillId="0" borderId="0" xfId="0" applyNumberFormat="1" applyFont="1"/>
    <xf numFmtId="167" fontId="2" fillId="0" borderId="0" xfId="0" applyNumberFormat="1" applyFont="1" applyAlignment="1">
      <alignment horizontal="left"/>
    </xf>
    <xf numFmtId="166" fontId="2" fillId="0" borderId="0" xfId="1" applyNumberFormat="1" applyFont="1" applyFill="1" applyBorder="1" applyProtection="1">
      <protection locked="0"/>
    </xf>
    <xf numFmtId="167" fontId="22" fillId="6" borderId="0" xfId="0" applyNumberFormat="1" applyFont="1" applyFill="1" applyAlignment="1">
      <alignment horizontal="left" indent="3"/>
    </xf>
    <xf numFmtId="1" fontId="16" fillId="6" borderId="0" xfId="0" applyNumberFormat="1" applyFont="1" applyFill="1" applyAlignment="1">
      <alignment horizontal="left"/>
    </xf>
    <xf numFmtId="1" fontId="16" fillId="6" borderId="0" xfId="0" applyNumberFormat="1" applyFont="1" applyFill="1"/>
    <xf numFmtId="166" fontId="22" fillId="6" borderId="0" xfId="1" applyNumberFormat="1" applyFont="1" applyFill="1" applyBorder="1" applyProtection="1">
      <protection locked="0"/>
    </xf>
    <xf numFmtId="166" fontId="23" fillId="6" borderId="4" xfId="1" applyNumberFormat="1" applyFont="1" applyFill="1" applyBorder="1" applyProtection="1"/>
    <xf numFmtId="166" fontId="43" fillId="6" borderId="0" xfId="1" applyNumberFormat="1" applyFont="1" applyFill="1" applyBorder="1" applyProtection="1">
      <protection locked="0"/>
    </xf>
    <xf numFmtId="167" fontId="22" fillId="0" borderId="0" xfId="0" applyNumberFormat="1" applyFont="1" applyAlignment="1">
      <alignment horizontal="left" indent="3"/>
    </xf>
    <xf numFmtId="166" fontId="43" fillId="0" borderId="0" xfId="1" applyNumberFormat="1" applyFont="1" applyFill="1" applyBorder="1" applyProtection="1">
      <protection locked="0"/>
    </xf>
    <xf numFmtId="166" fontId="44" fillId="0" borderId="0" xfId="1" applyNumberFormat="1" applyFont="1" applyFill="1" applyBorder="1" applyProtection="1">
      <protection locked="0"/>
    </xf>
    <xf numFmtId="166" fontId="23" fillId="0" borderId="4" xfId="1" applyNumberFormat="1" applyFont="1" applyFill="1" applyBorder="1" applyProtection="1"/>
    <xf numFmtId="167" fontId="2" fillId="6" borderId="0" xfId="0" applyNumberFormat="1" applyFont="1" applyFill="1" applyAlignment="1">
      <alignment horizontal="left" indent="1"/>
    </xf>
    <xf numFmtId="166" fontId="18" fillId="6" borderId="0" xfId="1" applyNumberFormat="1" applyFont="1" applyFill="1" applyBorder="1" applyProtection="1">
      <protection locked="0"/>
    </xf>
    <xf numFmtId="167" fontId="2" fillId="0" borderId="0" xfId="0" applyNumberFormat="1" applyFont="1" applyAlignment="1">
      <alignment horizontal="left" indent="1"/>
    </xf>
    <xf numFmtId="1" fontId="40" fillId="0" borderId="0" xfId="0" applyNumberFormat="1" applyFont="1"/>
    <xf numFmtId="167" fontId="27" fillId="6" borderId="0" xfId="0" applyNumberFormat="1" applyFont="1" applyFill="1" applyAlignment="1">
      <alignment horizontal="left" indent="1"/>
    </xf>
    <xf numFmtId="1" fontId="27" fillId="6" borderId="0" xfId="0" applyNumberFormat="1" applyFont="1" applyFill="1"/>
    <xf numFmtId="166" fontId="45" fillId="6" borderId="0" xfId="1" applyNumberFormat="1" applyFont="1" applyFill="1" applyBorder="1" applyProtection="1">
      <protection locked="0"/>
    </xf>
    <xf numFmtId="166" fontId="46" fillId="6" borderId="4" xfId="1" applyNumberFormat="1" applyFont="1" applyFill="1" applyBorder="1" applyProtection="1"/>
    <xf numFmtId="167" fontId="1" fillId="0" borderId="0" xfId="0" applyNumberFormat="1" applyFont="1" applyAlignment="1">
      <alignment horizontal="left" indent="1"/>
    </xf>
    <xf numFmtId="166" fontId="1" fillId="0" borderId="0" xfId="1" applyNumberFormat="1" applyFont="1" applyFill="1" applyBorder="1" applyProtection="1">
      <protection locked="0"/>
    </xf>
    <xf numFmtId="166" fontId="1" fillId="6" borderId="6" xfId="1" applyNumberFormat="1" applyFont="1" applyFill="1" applyBorder="1" applyProtection="1"/>
    <xf numFmtId="167" fontId="1" fillId="3" borderId="0" xfId="0" applyNumberFormat="1" applyFont="1" applyFill="1" applyAlignment="1">
      <alignment horizontal="left"/>
    </xf>
    <xf numFmtId="166" fontId="1" fillId="0" borderId="2" xfId="1" applyNumberFormat="1" applyFont="1" applyBorder="1" applyProtection="1"/>
    <xf numFmtId="166" fontId="7" fillId="0" borderId="7" xfId="1" applyNumberFormat="1" applyFont="1" applyBorder="1" applyProtection="1"/>
    <xf numFmtId="167" fontId="22" fillId="6" borderId="0" xfId="0" applyNumberFormat="1" applyFont="1" applyFill="1" applyAlignment="1">
      <alignment horizontal="right"/>
    </xf>
    <xf numFmtId="1" fontId="22" fillId="6" borderId="0" xfId="0" applyNumberFormat="1" applyFont="1" applyFill="1" applyAlignment="1">
      <alignment horizontal="left"/>
    </xf>
    <xf numFmtId="1" fontId="22" fillId="6" borderId="0" xfId="0" applyNumberFormat="1" applyFont="1" applyFill="1"/>
    <xf numFmtId="166" fontId="22" fillId="6" borderId="0" xfId="1" applyNumberFormat="1" applyFont="1" applyFill="1" applyBorder="1" applyProtection="1"/>
    <xf numFmtId="167" fontId="1" fillId="6" borderId="0" xfId="0" applyNumberFormat="1" applyFont="1" applyFill="1"/>
    <xf numFmtId="0" fontId="2" fillId="6" borderId="0" xfId="0" applyFont="1" applyFill="1"/>
    <xf numFmtId="166" fontId="1" fillId="6" borderId="0" xfId="1" applyNumberFormat="1" applyFont="1" applyFill="1" applyBorder="1" applyProtection="1"/>
    <xf numFmtId="166" fontId="7" fillId="6" borderId="4" xfId="1" applyNumberFormat="1" applyFont="1" applyFill="1" applyBorder="1" applyProtection="1"/>
    <xf numFmtId="0" fontId="1" fillId="6" borderId="1" xfId="0" applyFont="1" applyFill="1" applyBorder="1"/>
    <xf numFmtId="0" fontId="0" fillId="6" borderId="2" xfId="0" applyFill="1" applyBorder="1"/>
    <xf numFmtId="0" fontId="0" fillId="6" borderId="7" xfId="0" applyFill="1" applyBorder="1"/>
    <xf numFmtId="167" fontId="2" fillId="6" borderId="0" xfId="0" applyNumberFormat="1" applyFont="1" applyFill="1" applyAlignment="1">
      <alignment horizontal="center"/>
    </xf>
    <xf numFmtId="2" fontId="40" fillId="6" borderId="0" xfId="0" applyNumberFormat="1" applyFont="1" applyFill="1" applyAlignment="1">
      <alignment horizontal="center"/>
    </xf>
    <xf numFmtId="166" fontId="40" fillId="6" borderId="4" xfId="1" applyNumberFormat="1" applyFont="1" applyFill="1" applyBorder="1" applyProtection="1"/>
    <xf numFmtId="167" fontId="27" fillId="6" borderId="0" xfId="0" applyNumberFormat="1" applyFont="1" applyFill="1" applyAlignment="1">
      <alignment horizontal="left"/>
    </xf>
    <xf numFmtId="1" fontId="2" fillId="6" borderId="0" xfId="0" applyNumberFormat="1" applyFont="1" applyFill="1" applyAlignment="1">
      <alignment horizontal="left"/>
    </xf>
    <xf numFmtId="167" fontId="25" fillId="6" borderId="0" xfId="0" applyNumberFormat="1" applyFont="1" applyFill="1" applyAlignment="1">
      <alignment horizontal="left"/>
    </xf>
    <xf numFmtId="1" fontId="25" fillId="6" borderId="26" xfId="0" applyNumberFormat="1" applyFont="1" applyFill="1" applyBorder="1" applyAlignment="1">
      <alignment horizontal="left"/>
    </xf>
    <xf numFmtId="10" fontId="2" fillId="6" borderId="26" xfId="2" applyNumberFormat="1" applyFont="1" applyFill="1" applyBorder="1" applyProtection="1"/>
    <xf numFmtId="166" fontId="3" fillId="6" borderId="26" xfId="1" applyNumberFormat="1" applyFont="1" applyFill="1" applyBorder="1" applyProtection="1"/>
    <xf numFmtId="166" fontId="36" fillId="6" borderId="27" xfId="1" applyNumberFormat="1" applyFont="1" applyFill="1" applyBorder="1" applyProtection="1"/>
    <xf numFmtId="1" fontId="27" fillId="6" borderId="0" xfId="0" applyNumberFormat="1" applyFont="1" applyFill="1" applyAlignment="1">
      <alignment horizontal="left"/>
    </xf>
    <xf numFmtId="166" fontId="8" fillId="6" borderId="0" xfId="1" applyNumberFormat="1" applyFont="1" applyFill="1" applyBorder="1" applyProtection="1"/>
    <xf numFmtId="1" fontId="27" fillId="6" borderId="6" xfId="0" applyNumberFormat="1" applyFont="1" applyFill="1" applyBorder="1" applyAlignment="1">
      <alignment horizontal="left"/>
    </xf>
    <xf numFmtId="10" fontId="1" fillId="6" borderId="6" xfId="2" applyNumberFormat="1" applyFont="1" applyFill="1" applyBorder="1" applyProtection="1"/>
    <xf numFmtId="167" fontId="2" fillId="2" borderId="2" xfId="0" applyNumberFormat="1" applyFont="1" applyFill="1" applyBorder="1"/>
    <xf numFmtId="167" fontId="2" fillId="2" borderId="6" xfId="0" applyNumberFormat="1" applyFont="1" applyFill="1" applyBorder="1"/>
    <xf numFmtId="0" fontId="2" fillId="0" borderId="0" xfId="0" applyFont="1" applyAlignment="1">
      <alignment vertical="top"/>
    </xf>
    <xf numFmtId="166" fontId="2" fillId="0" borderId="0" xfId="0" applyNumberFormat="1" applyFont="1" applyAlignment="1">
      <alignment vertical="top" wrapText="1"/>
    </xf>
    <xf numFmtId="0" fontId="0" fillId="0" borderId="0" xfId="0" applyAlignment="1">
      <alignment horizontal="center"/>
    </xf>
    <xf numFmtId="166" fontId="0" fillId="0" borderId="0" xfId="0" applyNumberFormat="1"/>
    <xf numFmtId="167" fontId="40" fillId="5" borderId="0" xfId="0" applyNumberFormat="1" applyFont="1" applyFill="1" applyAlignment="1">
      <alignment horizontal="right"/>
    </xf>
    <xf numFmtId="0" fontId="22" fillId="0" borderId="0" xfId="0" applyFont="1"/>
    <xf numFmtId="2" fontId="40" fillId="0" borderId="0" xfId="0" applyNumberFormat="1" applyFont="1"/>
    <xf numFmtId="10" fontId="25" fillId="5" borderId="4" xfId="2" applyNumberFormat="1" applyFont="1" applyFill="1" applyBorder="1" applyAlignment="1" applyProtection="1">
      <alignment horizontal="left" vertical="top"/>
    </xf>
    <xf numFmtId="10" fontId="25" fillId="5" borderId="0" xfId="2" applyNumberFormat="1" applyFont="1" applyFill="1" applyBorder="1" applyAlignment="1" applyProtection="1">
      <alignment horizontal="left" vertical="center"/>
    </xf>
    <xf numFmtId="10" fontId="25" fillId="5" borderId="6" xfId="2" applyNumberFormat="1" applyFont="1" applyFill="1" applyBorder="1" applyAlignment="1" applyProtection="1">
      <alignment horizontal="left" vertical="center"/>
    </xf>
    <xf numFmtId="0" fontId="27" fillId="0" borderId="0" xfId="0" applyFont="1" applyAlignment="1">
      <alignment horizontal="left" vertical="center"/>
    </xf>
    <xf numFmtId="167" fontId="25" fillId="0" borderId="0" xfId="0" applyNumberFormat="1" applyFont="1" applyAlignment="1">
      <alignment horizontal="center"/>
    </xf>
    <xf numFmtId="0" fontId="27" fillId="0" borderId="0" xfId="0" applyFont="1" applyAlignment="1">
      <alignment vertical="center"/>
    </xf>
    <xf numFmtId="0" fontId="29" fillId="0" borderId="0" xfId="0" applyFont="1" applyAlignment="1">
      <alignment vertical="top" wrapText="1"/>
    </xf>
    <xf numFmtId="0" fontId="27" fillId="0" borderId="0" xfId="0" applyFont="1" applyAlignment="1">
      <alignment horizontal="left"/>
    </xf>
    <xf numFmtId="0" fontId="42" fillId="0" borderId="0" xfId="0" applyFont="1"/>
    <xf numFmtId="166" fontId="11" fillId="0" borderId="0" xfId="1" applyNumberFormat="1" applyFont="1" applyBorder="1" applyAlignment="1" applyProtection="1">
      <alignment horizontal="center"/>
    </xf>
    <xf numFmtId="166" fontId="11" fillId="0" borderId="2" xfId="1" applyNumberFormat="1" applyFont="1" applyBorder="1" applyAlignment="1" applyProtection="1">
      <alignment horizontal="center"/>
    </xf>
    <xf numFmtId="166" fontId="12" fillId="0" borderId="2" xfId="1" applyNumberFormat="1" applyFont="1" applyBorder="1" applyAlignment="1" applyProtection="1">
      <alignment horizontal="center"/>
    </xf>
    <xf numFmtId="166" fontId="13" fillId="0" borderId="7" xfId="1" applyNumberFormat="1" applyFont="1" applyBorder="1" applyAlignment="1" applyProtection="1">
      <alignment horizontal="center"/>
    </xf>
    <xf numFmtId="166" fontId="12" fillId="0" borderId="0" xfId="1" applyNumberFormat="1" applyFont="1" applyBorder="1" applyAlignment="1" applyProtection="1">
      <alignment horizontal="center"/>
    </xf>
    <xf numFmtId="0" fontId="0" fillId="0" borderId="0" xfId="0" quotePrefix="1"/>
    <xf numFmtId="0" fontId="14" fillId="0" borderId="2" xfId="0" applyFont="1" applyBorder="1" applyAlignment="1">
      <alignment horizontal="center"/>
    </xf>
    <xf numFmtId="0" fontId="1" fillId="0" borderId="1" xfId="3" applyFont="1" applyBorder="1" applyAlignment="1">
      <alignment horizontal="center"/>
    </xf>
    <xf numFmtId="0" fontId="2" fillId="0" borderId="2" xfId="3" applyBorder="1" applyAlignment="1">
      <alignment horizontal="center"/>
    </xf>
    <xf numFmtId="0" fontId="1" fillId="0" borderId="2" xfId="3" applyFont="1" applyBorder="1"/>
    <xf numFmtId="167" fontId="1" fillId="0" borderId="0" xfId="0" applyNumberFormat="1" applyFont="1" applyAlignment="1">
      <alignment horizontal="left"/>
    </xf>
    <xf numFmtId="0" fontId="1" fillId="3" borderId="21" xfId="0" applyFont="1" applyFill="1" applyBorder="1"/>
    <xf numFmtId="167" fontId="1" fillId="3" borderId="23" xfId="0" applyNumberFormat="1" applyFont="1" applyFill="1" applyBorder="1"/>
    <xf numFmtId="0" fontId="1" fillId="3" borderId="23" xfId="0" applyFont="1" applyFill="1" applyBorder="1"/>
    <xf numFmtId="166" fontId="32" fillId="3" borderId="23" xfId="1" applyNumberFormat="1" applyFont="1" applyFill="1" applyBorder="1" applyAlignment="1" applyProtection="1">
      <alignment horizontal="center" vertical="top"/>
    </xf>
    <xf numFmtId="166" fontId="33" fillId="3" borderId="23" xfId="1" applyNumberFormat="1" applyFont="1" applyFill="1" applyBorder="1" applyAlignment="1" applyProtection="1">
      <alignment horizontal="center" vertical="top"/>
    </xf>
    <xf numFmtId="166" fontId="34" fillId="3" borderId="22" xfId="1" applyNumberFormat="1" applyFont="1" applyFill="1" applyBorder="1" applyAlignment="1" applyProtection="1">
      <alignment horizontal="center" vertical="top"/>
    </xf>
    <xf numFmtId="0" fontId="25" fillId="5" borderId="0" xfId="0" applyFont="1" applyFill="1"/>
    <xf numFmtId="0" fontId="2" fillId="3" borderId="21" xfId="0" applyFont="1" applyFill="1" applyBorder="1" applyAlignment="1">
      <alignment horizontal="center"/>
    </xf>
    <xf numFmtId="167" fontId="2" fillId="3" borderId="23" xfId="0" applyNumberFormat="1" applyFont="1" applyFill="1" applyBorder="1"/>
    <xf numFmtId="1" fontId="1" fillId="3" borderId="23" xfId="0" applyNumberFormat="1" applyFont="1" applyFill="1" applyBorder="1" applyAlignment="1">
      <alignment horizontal="left"/>
    </xf>
    <xf numFmtId="1" fontId="1" fillId="3" borderId="23" xfId="0" applyNumberFormat="1" applyFont="1" applyFill="1" applyBorder="1"/>
    <xf numFmtId="166" fontId="8" fillId="3" borderId="23" xfId="1" applyNumberFormat="1" applyFont="1" applyFill="1" applyBorder="1" applyProtection="1"/>
    <xf numFmtId="166" fontId="7" fillId="3" borderId="22" xfId="1" applyNumberFormat="1" applyFont="1" applyFill="1" applyBorder="1" applyProtection="1"/>
    <xf numFmtId="0" fontId="47" fillId="0" borderId="0" xfId="0" applyFont="1"/>
    <xf numFmtId="10" fontId="25" fillId="5" borderId="0" xfId="2" applyNumberFormat="1" applyFont="1" applyFill="1" applyBorder="1" applyAlignment="1" applyProtection="1">
      <alignment horizontal="right" vertical="center"/>
    </xf>
    <xf numFmtId="0" fontId="48" fillId="0" borderId="0" xfId="0" applyFont="1" applyAlignment="1">
      <alignment vertical="center"/>
    </xf>
    <xf numFmtId="0" fontId="25" fillId="0" borderId="0" xfId="0" applyFont="1"/>
    <xf numFmtId="166" fontId="34" fillId="0" borderId="31" xfId="1" applyNumberFormat="1" applyFont="1" applyBorder="1" applyAlignment="1" applyProtection="1">
      <alignment horizontal="center" vertical="top"/>
    </xf>
    <xf numFmtId="0" fontId="16" fillId="0" borderId="32" xfId="0" applyFont="1" applyBorder="1" applyAlignment="1">
      <alignment horizontal="center"/>
    </xf>
    <xf numFmtId="0" fontId="16" fillId="0" borderId="28" xfId="0" applyFont="1" applyBorder="1" applyAlignment="1">
      <alignment horizontal="center"/>
    </xf>
    <xf numFmtId="0" fontId="22" fillId="0" borderId="33" xfId="0" applyFont="1" applyBorder="1" applyAlignment="1">
      <alignment horizontal="center"/>
    </xf>
    <xf numFmtId="2" fontId="40" fillId="5" borderId="32" xfId="0" applyNumberFormat="1" applyFont="1" applyFill="1" applyBorder="1" applyAlignment="1">
      <alignment horizontal="center"/>
    </xf>
    <xf numFmtId="2" fontId="40" fillId="5" borderId="28" xfId="0" applyNumberFormat="1" applyFont="1" applyFill="1" applyBorder="1" applyAlignment="1">
      <alignment horizontal="center"/>
    </xf>
    <xf numFmtId="2" fontId="40" fillId="0" borderId="37" xfId="0" applyNumberFormat="1" applyFont="1" applyBorder="1" applyAlignment="1">
      <alignment horizontal="left"/>
    </xf>
    <xf numFmtId="166" fontId="3" fillId="0" borderId="32" xfId="1" quotePrefix="1" applyNumberFormat="1" applyFont="1" applyBorder="1" applyProtection="1">
      <protection locked="0"/>
    </xf>
    <xf numFmtId="166" fontId="3" fillId="8" borderId="28" xfId="1" quotePrefix="1" applyNumberFormat="1" applyFont="1" applyFill="1" applyBorder="1" applyProtection="1">
      <protection locked="0"/>
    </xf>
    <xf numFmtId="166" fontId="3" fillId="8" borderId="0" xfId="1" quotePrefix="1" applyNumberFormat="1" applyFont="1" applyFill="1" applyBorder="1" applyProtection="1">
      <protection locked="0"/>
    </xf>
    <xf numFmtId="166" fontId="4" fillId="0" borderId="37" xfId="1" applyNumberFormat="1" applyFont="1" applyBorder="1" applyProtection="1"/>
    <xf numFmtId="166" fontId="26" fillId="6" borderId="32" xfId="1" quotePrefix="1" applyNumberFormat="1" applyFont="1" applyFill="1" applyBorder="1" applyProtection="1">
      <protection locked="0"/>
    </xf>
    <xf numFmtId="166" fontId="26" fillId="13" borderId="28" xfId="1" quotePrefix="1" applyNumberFormat="1" applyFont="1" applyFill="1" applyBorder="1" applyProtection="1">
      <protection locked="0"/>
    </xf>
    <xf numFmtId="166" fontId="26" fillId="13" borderId="0" xfId="1" quotePrefix="1" applyNumberFormat="1" applyFont="1" applyFill="1" applyBorder="1" applyProtection="1">
      <protection locked="0"/>
    </xf>
    <xf numFmtId="166" fontId="36" fillId="6" borderId="37" xfId="1" applyNumberFormat="1" applyFont="1" applyFill="1" applyBorder="1" applyProtection="1"/>
    <xf numFmtId="166" fontId="3" fillId="0" borderId="32" xfId="1" applyNumberFormat="1" applyFont="1" applyBorder="1" applyProtection="1"/>
    <xf numFmtId="166" fontId="3" fillId="0" borderId="28" xfId="1" applyNumberFormat="1" applyFont="1" applyBorder="1" applyProtection="1"/>
    <xf numFmtId="166" fontId="3" fillId="6" borderId="32" xfId="1" applyNumberFormat="1" applyFont="1" applyFill="1" applyBorder="1" applyProtection="1"/>
    <xf numFmtId="166" fontId="3" fillId="13" borderId="28" xfId="1" applyNumberFormat="1" applyFont="1" applyFill="1" applyBorder="1" applyProtection="1"/>
    <xf numFmtId="166" fontId="3" fillId="13" borderId="0" xfId="1" applyNumberFormat="1" applyFont="1" applyFill="1" applyBorder="1" applyProtection="1"/>
    <xf numFmtId="166" fontId="4" fillId="6" borderId="37" xfId="1" applyNumberFormat="1" applyFont="1" applyFill="1" applyBorder="1" applyProtection="1"/>
    <xf numFmtId="166" fontId="8" fillId="6" borderId="38" xfId="1" applyNumberFormat="1" applyFont="1" applyFill="1" applyBorder="1" applyProtection="1"/>
    <xf numFmtId="166" fontId="7" fillId="6" borderId="33" xfId="1" applyNumberFormat="1" applyFont="1" applyFill="1" applyBorder="1" applyProtection="1"/>
    <xf numFmtId="166" fontId="8" fillId="3" borderId="34" xfId="1" applyNumberFormat="1" applyFont="1" applyFill="1" applyBorder="1" applyProtection="1"/>
    <xf numFmtId="166" fontId="8" fillId="3" borderId="35" xfId="1" applyNumberFormat="1" applyFont="1" applyFill="1" applyBorder="1" applyProtection="1"/>
    <xf numFmtId="166" fontId="7" fillId="3" borderId="36" xfId="1" applyNumberFormat="1" applyFont="1" applyFill="1" applyBorder="1" applyProtection="1"/>
    <xf numFmtId="0" fontId="16" fillId="0" borderId="0" xfId="0" applyFont="1"/>
    <xf numFmtId="166" fontId="25" fillId="0" borderId="32" xfId="1" applyNumberFormat="1" applyFont="1" applyBorder="1" applyProtection="1"/>
    <xf numFmtId="166" fontId="25" fillId="8" borderId="28" xfId="1" applyNumberFormat="1" applyFont="1" applyFill="1" applyBorder="1" applyProtection="1"/>
    <xf numFmtId="166" fontId="25" fillId="8" borderId="0" xfId="1" applyNumberFormat="1" applyFont="1" applyFill="1" applyBorder="1" applyProtection="1"/>
    <xf numFmtId="166" fontId="36" fillId="0" borderId="37" xfId="1" applyNumberFormat="1" applyFont="1" applyBorder="1" applyProtection="1"/>
    <xf numFmtId="166" fontId="2" fillId="0" borderId="32" xfId="1" applyNumberFormat="1" applyFont="1" applyBorder="1" applyProtection="1"/>
    <xf numFmtId="166" fontId="2" fillId="0" borderId="28" xfId="1" applyNumberFormat="1" applyFont="1" applyBorder="1" applyProtection="1"/>
    <xf numFmtId="166" fontId="2" fillId="0" borderId="0" xfId="1" applyNumberFormat="1" applyFont="1" applyBorder="1" applyProtection="1"/>
    <xf numFmtId="0" fontId="40" fillId="5" borderId="32" xfId="0" applyFont="1" applyFill="1" applyBorder="1" applyAlignment="1">
      <alignment horizontal="center"/>
    </xf>
    <xf numFmtId="0" fontId="40" fillId="5" borderId="28" xfId="0" applyFont="1" applyFill="1" applyBorder="1" applyAlignment="1">
      <alignment horizontal="center"/>
    </xf>
    <xf numFmtId="166" fontId="40" fillId="0" borderId="37" xfId="1" applyNumberFormat="1" applyFont="1" applyBorder="1" applyAlignment="1" applyProtection="1">
      <alignment horizontal="center"/>
    </xf>
    <xf numFmtId="166" fontId="2" fillId="0" borderId="32" xfId="1" applyNumberFormat="1" applyFont="1" applyBorder="1" applyProtection="1">
      <protection locked="0"/>
    </xf>
    <xf numFmtId="166" fontId="2" fillId="8" borderId="28" xfId="1" applyNumberFormat="1" applyFont="1" applyFill="1" applyBorder="1" applyProtection="1">
      <protection locked="0"/>
    </xf>
    <xf numFmtId="166" fontId="2" fillId="8" borderId="0" xfId="1" applyNumberFormat="1" applyFont="1" applyFill="1" applyBorder="1" applyProtection="1">
      <protection locked="0"/>
    </xf>
    <xf numFmtId="166" fontId="3" fillId="0" borderId="32" xfId="1" applyNumberFormat="1" applyFont="1" applyBorder="1" applyProtection="1">
      <protection locked="0"/>
    </xf>
    <xf numFmtId="166" fontId="3" fillId="8" borderId="28" xfId="1" applyNumberFormat="1" applyFont="1" applyFill="1" applyBorder="1" applyProtection="1">
      <protection locked="0"/>
    </xf>
    <xf numFmtId="166" fontId="3" fillId="8" borderId="0" xfId="1" applyNumberFormat="1" applyFont="1" applyFill="1" applyBorder="1" applyProtection="1">
      <protection locked="0"/>
    </xf>
    <xf numFmtId="166" fontId="2" fillId="0" borderId="32" xfId="1" applyNumberFormat="1" applyFont="1" applyFill="1" applyBorder="1" applyProtection="1">
      <protection locked="0"/>
    </xf>
    <xf numFmtId="166" fontId="22" fillId="6" borderId="32" xfId="1" applyNumberFormat="1" applyFont="1" applyFill="1" applyBorder="1" applyProtection="1">
      <protection locked="0"/>
    </xf>
    <xf numFmtId="166" fontId="22" fillId="13" borderId="28" xfId="1" applyNumberFormat="1" applyFont="1" applyFill="1" applyBorder="1" applyProtection="1">
      <protection locked="0"/>
    </xf>
    <xf numFmtId="166" fontId="23" fillId="6" borderId="37" xfId="1" applyNumberFormat="1" applyFont="1" applyFill="1" applyBorder="1" applyProtection="1"/>
    <xf numFmtId="166" fontId="43" fillId="0" borderId="32" xfId="1" applyNumberFormat="1" applyFont="1" applyFill="1" applyBorder="1" applyProtection="1">
      <protection locked="0"/>
    </xf>
    <xf numFmtId="166" fontId="43" fillId="0" borderId="28" xfId="1" applyNumberFormat="1" applyFont="1" applyFill="1" applyBorder="1" applyProtection="1">
      <protection locked="0"/>
    </xf>
    <xf numFmtId="166" fontId="23" fillId="0" borderId="37" xfId="1" applyNumberFormat="1" applyFont="1" applyFill="1" applyBorder="1" applyProtection="1"/>
    <xf numFmtId="0" fontId="0" fillId="0" borderId="32" xfId="0" applyBorder="1"/>
    <xf numFmtId="0" fontId="0" fillId="0" borderId="28" xfId="0" applyBorder="1"/>
    <xf numFmtId="166" fontId="3" fillId="0" borderId="28" xfId="1" applyNumberFormat="1" applyFont="1" applyFill="1" applyBorder="1" applyProtection="1">
      <protection locked="0"/>
    </xf>
    <xf numFmtId="166" fontId="3" fillId="0" borderId="28" xfId="1" applyNumberFormat="1" applyFont="1" applyBorder="1" applyProtection="1">
      <protection locked="0"/>
    </xf>
    <xf numFmtId="166" fontId="18" fillId="6" borderId="32" xfId="1" applyNumberFormat="1" applyFont="1" applyFill="1" applyBorder="1" applyProtection="1">
      <protection locked="0"/>
    </xf>
    <xf numFmtId="166" fontId="18" fillId="13" borderId="28" xfId="1" applyNumberFormat="1" applyFont="1" applyFill="1" applyBorder="1" applyProtection="1">
      <protection locked="0"/>
    </xf>
    <xf numFmtId="166" fontId="2" fillId="0" borderId="28" xfId="1" applyNumberFormat="1" applyFont="1" applyBorder="1" applyProtection="1">
      <protection locked="0"/>
    </xf>
    <xf numFmtId="166" fontId="45" fillId="6" borderId="32" xfId="1" applyNumberFormat="1" applyFont="1" applyFill="1" applyBorder="1" applyProtection="1">
      <protection locked="0"/>
    </xf>
    <xf numFmtId="166" fontId="45" fillId="13" borderId="28" xfId="1" applyNumberFormat="1" applyFont="1" applyFill="1" applyBorder="1" applyProtection="1">
      <protection locked="0"/>
    </xf>
    <xf numFmtId="166" fontId="45" fillId="13" borderId="0" xfId="1" applyNumberFormat="1" applyFont="1" applyFill="1" applyBorder="1" applyProtection="1">
      <protection locked="0"/>
    </xf>
    <xf numFmtId="166" fontId="46" fillId="6" borderId="37" xfId="1" applyNumberFormat="1" applyFont="1" applyFill="1" applyBorder="1" applyProtection="1"/>
    <xf numFmtId="166" fontId="1" fillId="0" borderId="32" xfId="1" applyNumberFormat="1" applyFont="1" applyFill="1" applyBorder="1" applyProtection="1">
      <protection locked="0"/>
    </xf>
    <xf numFmtId="166" fontId="1" fillId="0" borderId="28" xfId="1" applyNumberFormat="1" applyFont="1" applyFill="1" applyBorder="1" applyProtection="1">
      <protection locked="0"/>
    </xf>
    <xf numFmtId="166" fontId="7" fillId="0" borderId="37" xfId="1" applyNumberFormat="1" applyFont="1" applyFill="1" applyBorder="1" applyProtection="1"/>
    <xf numFmtId="166" fontId="1" fillId="6" borderId="38" xfId="1" applyNumberFormat="1" applyFont="1" applyFill="1" applyBorder="1" applyProtection="1"/>
    <xf numFmtId="166" fontId="1" fillId="13" borderId="39" xfId="1" applyNumberFormat="1" applyFont="1" applyFill="1" applyBorder="1" applyProtection="1"/>
    <xf numFmtId="166" fontId="22" fillId="6" borderId="32" xfId="1" applyNumberFormat="1" applyFont="1" applyFill="1" applyBorder="1" applyProtection="1"/>
    <xf numFmtId="166" fontId="22" fillId="13" borderId="28" xfId="1" applyNumberFormat="1" applyFont="1" applyFill="1" applyBorder="1" applyProtection="1"/>
    <xf numFmtId="166" fontId="16" fillId="0" borderId="32" xfId="1" applyNumberFormat="1" applyFont="1" applyBorder="1" applyProtection="1"/>
    <xf numFmtId="166" fontId="16" fillId="0" borderId="28" xfId="1" applyNumberFormat="1" applyFont="1" applyBorder="1" applyProtection="1"/>
    <xf numFmtId="166" fontId="17" fillId="0" borderId="37" xfId="1" applyNumberFormat="1" applyFont="1" applyBorder="1" applyProtection="1"/>
    <xf numFmtId="166" fontId="1" fillId="6" borderId="32" xfId="1" applyNumberFormat="1" applyFont="1" applyFill="1" applyBorder="1" applyProtection="1"/>
    <xf numFmtId="166" fontId="1" fillId="13" borderId="28" xfId="1" applyNumberFormat="1" applyFont="1" applyFill="1" applyBorder="1" applyProtection="1"/>
    <xf numFmtId="166" fontId="7" fillId="6" borderId="37" xfId="1" applyNumberFormat="1" applyFont="1" applyFill="1" applyBorder="1" applyProtection="1"/>
    <xf numFmtId="166" fontId="1" fillId="0" borderId="32" xfId="1" applyNumberFormat="1" applyFont="1" applyFill="1" applyBorder="1" applyProtection="1"/>
    <xf numFmtId="166" fontId="1" fillId="0" borderId="28" xfId="1" quotePrefix="1" applyNumberFormat="1" applyFont="1" applyFill="1" applyBorder="1" applyProtection="1"/>
    <xf numFmtId="166" fontId="3" fillId="8" borderId="0" xfId="1" applyNumberFormat="1" applyFont="1" applyFill="1" applyBorder="1" applyProtection="1"/>
    <xf numFmtId="166" fontId="3" fillId="8" borderId="26" xfId="1" applyNumberFormat="1" applyFont="1" applyFill="1" applyBorder="1" applyProtection="1"/>
    <xf numFmtId="166" fontId="8" fillId="8" borderId="0" xfId="1" applyNumberFormat="1" applyFont="1" applyFill="1" applyBorder="1" applyProtection="1"/>
    <xf numFmtId="166" fontId="8" fillId="8" borderId="6" xfId="1" applyNumberFormat="1" applyFont="1" applyFill="1" applyBorder="1" applyProtection="1"/>
    <xf numFmtId="166" fontId="1" fillId="13" borderId="28" xfId="1" quotePrefix="1" applyNumberFormat="1" applyFont="1" applyFill="1" applyBorder="1" applyProtection="1"/>
    <xf numFmtId="10" fontId="49" fillId="0" borderId="0" xfId="2" applyNumberFormat="1" applyFont="1" applyBorder="1" applyAlignment="1" applyProtection="1">
      <alignment horizontal="left" vertical="center"/>
    </xf>
    <xf numFmtId="164" fontId="50" fillId="0" borderId="0" xfId="2" applyNumberFormat="1" applyFont="1" applyProtection="1"/>
    <xf numFmtId="166" fontId="30" fillId="0" borderId="0" xfId="1" applyNumberFormat="1" applyFont="1" applyProtection="1"/>
    <xf numFmtId="10" fontId="26" fillId="0" borderId="0" xfId="2" applyNumberFormat="1" applyFont="1" applyBorder="1" applyProtection="1"/>
    <xf numFmtId="166" fontId="7" fillId="3" borderId="34" xfId="1" applyNumberFormat="1" applyFont="1" applyFill="1" applyBorder="1" applyProtection="1"/>
    <xf numFmtId="166" fontId="23" fillId="6" borderId="32" xfId="1" applyNumberFormat="1" applyFont="1" applyFill="1" applyBorder="1" applyProtection="1"/>
    <xf numFmtId="166" fontId="17" fillId="0" borderId="32" xfId="1" applyNumberFormat="1" applyFont="1" applyBorder="1" applyProtection="1"/>
    <xf numFmtId="166" fontId="7" fillId="6" borderId="32" xfId="1" applyNumberFormat="1" applyFont="1" applyFill="1" applyBorder="1" applyProtection="1"/>
    <xf numFmtId="166" fontId="7" fillId="0" borderId="32" xfId="1" applyNumberFormat="1" applyFont="1" applyFill="1" applyBorder="1" applyProtection="1"/>
    <xf numFmtId="166" fontId="4" fillId="0" borderId="32" xfId="1" applyNumberFormat="1" applyFont="1" applyBorder="1" applyProtection="1"/>
    <xf numFmtId="166" fontId="7" fillId="6" borderId="38" xfId="1" applyNumberFormat="1" applyFont="1" applyFill="1" applyBorder="1" applyProtection="1"/>
    <xf numFmtId="166" fontId="7" fillId="0" borderId="37" xfId="1" applyNumberFormat="1" applyFont="1" applyBorder="1" applyProtection="1"/>
    <xf numFmtId="166" fontId="23" fillId="0" borderId="32" xfId="1" applyNumberFormat="1" applyFont="1" applyFill="1" applyBorder="1" applyProtection="1"/>
    <xf numFmtId="166" fontId="4" fillId="6" borderId="32" xfId="1" applyNumberFormat="1" applyFont="1" applyFill="1" applyBorder="1" applyProtection="1"/>
    <xf numFmtId="166" fontId="46" fillId="6" borderId="32" xfId="1" applyNumberFormat="1" applyFont="1" applyFill="1" applyBorder="1" applyProtection="1"/>
    <xf numFmtId="166" fontId="40" fillId="0" borderId="32" xfId="1" applyNumberFormat="1" applyFont="1" applyBorder="1" applyAlignment="1" applyProtection="1">
      <alignment horizontal="center"/>
    </xf>
    <xf numFmtId="166" fontId="36" fillId="0" borderId="32" xfId="1" applyNumberFormat="1" applyFont="1" applyBorder="1" applyProtection="1"/>
    <xf numFmtId="166" fontId="36" fillId="6" borderId="32" xfId="1" applyNumberFormat="1" applyFont="1" applyFill="1" applyBorder="1" applyProtection="1"/>
    <xf numFmtId="2" fontId="40" fillId="0" borderId="32" xfId="0" applyNumberFormat="1" applyFont="1" applyBorder="1" applyAlignment="1">
      <alignment horizontal="left"/>
    </xf>
    <xf numFmtId="1" fontId="1" fillId="6" borderId="0" xfId="0" applyNumberFormat="1" applyFont="1" applyFill="1"/>
    <xf numFmtId="166" fontId="8" fillId="6" borderId="32" xfId="1" applyNumberFormat="1" applyFont="1" applyFill="1" applyBorder="1" applyProtection="1"/>
    <xf numFmtId="166" fontId="8" fillId="13" borderId="28" xfId="1" applyNumberFormat="1" applyFont="1" applyFill="1" applyBorder="1" applyProtection="1"/>
    <xf numFmtId="166" fontId="8" fillId="13" borderId="0" xfId="1" applyNumberFormat="1" applyFont="1" applyFill="1" applyBorder="1" applyProtection="1"/>
    <xf numFmtId="166" fontId="7" fillId="3" borderId="23" xfId="1" applyNumberFormat="1" applyFont="1" applyFill="1" applyBorder="1" applyProtection="1"/>
    <xf numFmtId="0" fontId="1" fillId="3" borderId="21" xfId="0" applyFont="1" applyFill="1" applyBorder="1" applyAlignment="1">
      <alignment horizontal="center"/>
    </xf>
    <xf numFmtId="167" fontId="0" fillId="3" borderId="23" xfId="0" applyNumberFormat="1" applyFill="1" applyBorder="1"/>
    <xf numFmtId="1" fontId="2" fillId="3" borderId="23" xfId="0" applyNumberFormat="1" applyFont="1" applyFill="1" applyBorder="1"/>
    <xf numFmtId="167" fontId="2" fillId="3" borderId="23" xfId="0" applyNumberFormat="1" applyFont="1" applyFill="1" applyBorder="1" applyAlignment="1">
      <alignment horizontal="center"/>
    </xf>
    <xf numFmtId="166" fontId="3" fillId="3" borderId="34" xfId="1" applyNumberFormat="1" applyFont="1" applyFill="1" applyBorder="1" applyProtection="1"/>
    <xf numFmtId="166" fontId="3" fillId="3" borderId="35" xfId="1" applyNumberFormat="1" applyFont="1" applyFill="1" applyBorder="1" applyProtection="1"/>
    <xf numFmtId="166" fontId="3" fillId="3" borderId="23" xfId="1" applyNumberFormat="1" applyFont="1" applyFill="1" applyBorder="1" applyProtection="1"/>
    <xf numFmtId="166" fontId="4" fillId="3" borderId="34" xfId="1" applyNumberFormat="1" applyFont="1" applyFill="1" applyBorder="1" applyProtection="1"/>
    <xf numFmtId="166" fontId="4" fillId="3" borderId="23" xfId="1" applyNumberFormat="1" applyFont="1" applyFill="1" applyBorder="1" applyProtection="1"/>
    <xf numFmtId="0" fontId="2" fillId="6" borderId="0" xfId="0" applyFont="1" applyFill="1" applyAlignment="1">
      <alignment horizontal="left"/>
    </xf>
    <xf numFmtId="166" fontId="2" fillId="6" borderId="32" xfId="1" applyNumberFormat="1" applyFont="1" applyFill="1" applyBorder="1" applyProtection="1">
      <protection locked="0"/>
    </xf>
    <xf numFmtId="166" fontId="2" fillId="13" borderId="28" xfId="1" applyNumberFormat="1" applyFont="1" applyFill="1" applyBorder="1" applyProtection="1">
      <protection locked="0"/>
    </xf>
    <xf numFmtId="166" fontId="2" fillId="13" borderId="0" xfId="1" applyNumberFormat="1" applyFont="1" applyFill="1" applyBorder="1" applyProtection="1">
      <protection locked="0"/>
    </xf>
    <xf numFmtId="166" fontId="5" fillId="3" borderId="34" xfId="1" applyNumberFormat="1" applyFont="1" applyFill="1" applyBorder="1" applyProtection="1"/>
    <xf numFmtId="166" fontId="5" fillId="3" borderId="35" xfId="1" applyNumberFormat="1" applyFont="1" applyFill="1" applyBorder="1" applyProtection="1"/>
    <xf numFmtId="166" fontId="5" fillId="3" borderId="23" xfId="1" applyNumberFormat="1" applyFont="1" applyFill="1" applyBorder="1" applyProtection="1"/>
    <xf numFmtId="0" fontId="2" fillId="3" borderId="23" xfId="0" applyFont="1" applyFill="1" applyBorder="1"/>
    <xf numFmtId="166" fontId="3" fillId="3" borderId="34" xfId="1" applyNumberFormat="1" applyFont="1" applyFill="1" applyBorder="1" applyProtection="1">
      <protection locked="0"/>
    </xf>
    <xf numFmtId="166" fontId="3" fillId="3" borderId="35" xfId="1" applyNumberFormat="1" applyFont="1" applyFill="1" applyBorder="1" applyProtection="1">
      <protection locked="0"/>
    </xf>
    <xf numFmtId="166" fontId="3" fillId="3" borderId="23" xfId="1" applyNumberFormat="1" applyFont="1" applyFill="1" applyBorder="1" applyProtection="1">
      <protection locked="0"/>
    </xf>
    <xf numFmtId="167" fontId="1" fillId="0" borderId="0" xfId="0" applyNumberFormat="1" applyFont="1" applyAlignment="1">
      <alignment vertical="center"/>
    </xf>
    <xf numFmtId="166" fontId="1" fillId="0" borderId="32" xfId="1" applyNumberFormat="1" applyFont="1" applyBorder="1" applyProtection="1"/>
    <xf numFmtId="166" fontId="1" fillId="8" borderId="28" xfId="1" applyNumberFormat="1" applyFont="1" applyFill="1" applyBorder="1" applyProtection="1"/>
    <xf numFmtId="166" fontId="7" fillId="0" borderId="32" xfId="1" applyNumberFormat="1" applyFont="1" applyBorder="1" applyProtection="1"/>
    <xf numFmtId="167" fontId="1" fillId="3" borderId="23" xfId="0" applyNumberFormat="1" applyFont="1" applyFill="1" applyBorder="1" applyAlignment="1">
      <alignment horizontal="left"/>
    </xf>
    <xf numFmtId="166" fontId="1" fillId="3" borderId="34" xfId="1" applyNumberFormat="1" applyFont="1" applyFill="1" applyBorder="1" applyProtection="1"/>
    <xf numFmtId="166" fontId="1" fillId="3" borderId="35" xfId="1" applyNumberFormat="1" applyFont="1" applyFill="1" applyBorder="1" applyProtection="1"/>
    <xf numFmtId="166" fontId="1" fillId="3" borderId="23" xfId="1" applyNumberFormat="1" applyFont="1" applyFill="1" applyBorder="1" applyProtection="1"/>
    <xf numFmtId="166" fontId="4" fillId="6" borderId="0" xfId="1" applyNumberFormat="1" applyFont="1" applyFill="1" applyBorder="1" applyProtection="1"/>
    <xf numFmtId="166" fontId="7" fillId="6" borderId="0" xfId="1" applyNumberFormat="1" applyFont="1" applyFill="1" applyBorder="1" applyProtection="1"/>
    <xf numFmtId="0" fontId="0" fillId="6" borderId="29" xfId="0" applyFill="1" applyBorder="1"/>
    <xf numFmtId="2" fontId="40" fillId="6" borderId="32" xfId="0" applyNumberFormat="1" applyFont="1" applyFill="1" applyBorder="1" applyAlignment="1">
      <alignment horizontal="center"/>
    </xf>
    <xf numFmtId="166" fontId="3" fillId="6" borderId="40" xfId="1" applyNumberFormat="1" applyFont="1" applyFill="1" applyBorder="1" applyProtection="1"/>
    <xf numFmtId="2" fontId="40" fillId="6" borderId="32" xfId="0" applyNumberFormat="1" applyFont="1" applyFill="1" applyBorder="1" applyAlignment="1">
      <alignment horizontal="left"/>
    </xf>
    <xf numFmtId="166" fontId="36" fillId="6" borderId="40" xfId="1" applyNumberFormat="1" applyFont="1" applyFill="1" applyBorder="1" applyProtection="1"/>
    <xf numFmtId="166" fontId="40" fillId="6" borderId="32" xfId="1" applyNumberFormat="1" applyFont="1" applyFill="1" applyBorder="1" applyProtection="1"/>
    <xf numFmtId="166" fontId="7" fillId="6" borderId="41" xfId="1" applyNumberFormat="1" applyFont="1" applyFill="1" applyBorder="1" applyProtection="1"/>
    <xf numFmtId="0" fontId="1" fillId="0" borderId="31" xfId="0" applyFont="1" applyBorder="1"/>
    <xf numFmtId="0" fontId="1" fillId="0" borderId="29" xfId="0" applyFont="1" applyBorder="1"/>
    <xf numFmtId="166" fontId="34" fillId="3" borderId="2" xfId="1" applyNumberFormat="1" applyFont="1" applyFill="1" applyBorder="1" applyAlignment="1" applyProtection="1">
      <alignment horizontal="center" vertical="top"/>
    </xf>
    <xf numFmtId="2" fontId="40" fillId="0" borderId="0" xfId="0" applyNumberFormat="1" applyFont="1" applyAlignment="1">
      <alignment horizontal="left"/>
    </xf>
    <xf numFmtId="166" fontId="36" fillId="0" borderId="0" xfId="1" applyNumberFormat="1" applyFont="1" applyBorder="1" applyProtection="1"/>
    <xf numFmtId="166" fontId="40" fillId="0" borderId="0" xfId="1" applyNumberFormat="1" applyFont="1" applyBorder="1" applyAlignment="1" applyProtection="1">
      <alignment horizontal="center"/>
    </xf>
    <xf numFmtId="166" fontId="23" fillId="6" borderId="0" xfId="1" applyNumberFormat="1" applyFont="1" applyFill="1" applyBorder="1" applyProtection="1"/>
    <xf numFmtId="166" fontId="23" fillId="0" borderId="0" xfId="1" applyNumberFormat="1" applyFont="1" applyFill="1" applyBorder="1" applyProtection="1"/>
    <xf numFmtId="166" fontId="46" fillId="6" borderId="0" xfId="1" applyNumberFormat="1" applyFont="1" applyFill="1" applyBorder="1" applyProtection="1"/>
    <xf numFmtId="0" fontId="1" fillId="3" borderId="1" xfId="0" applyFont="1" applyFill="1" applyBorder="1"/>
    <xf numFmtId="167" fontId="1" fillId="3" borderId="2" xfId="0" applyNumberFormat="1" applyFont="1" applyFill="1" applyBorder="1"/>
    <xf numFmtId="0" fontId="1" fillId="3" borderId="2" xfId="0" applyFont="1" applyFill="1" applyBorder="1"/>
    <xf numFmtId="166" fontId="32" fillId="3" borderId="29" xfId="1" applyNumberFormat="1" applyFont="1" applyFill="1" applyBorder="1" applyAlignment="1" applyProtection="1">
      <alignment horizontal="center" vertical="top"/>
    </xf>
    <xf numFmtId="166" fontId="32" fillId="3" borderId="30" xfId="1" applyNumberFormat="1" applyFont="1" applyFill="1" applyBorder="1" applyAlignment="1" applyProtection="1">
      <alignment horizontal="center" vertical="top"/>
    </xf>
    <xf numFmtId="166" fontId="33" fillId="3" borderId="29" xfId="1" applyNumberFormat="1" applyFont="1" applyFill="1" applyBorder="1" applyAlignment="1" applyProtection="1">
      <alignment horizontal="center" vertical="top"/>
    </xf>
    <xf numFmtId="166" fontId="33" fillId="3" borderId="2" xfId="1" applyNumberFormat="1" applyFont="1" applyFill="1" applyBorder="1" applyAlignment="1" applyProtection="1">
      <alignment horizontal="center" vertical="top"/>
    </xf>
    <xf numFmtId="166" fontId="33" fillId="3" borderId="30" xfId="1" applyNumberFormat="1" applyFont="1" applyFill="1" applyBorder="1" applyAlignment="1" applyProtection="1">
      <alignment horizontal="center" vertical="top"/>
    </xf>
    <xf numFmtId="166" fontId="34" fillId="3" borderId="29" xfId="1" applyNumberFormat="1" applyFont="1" applyFill="1" applyBorder="1" applyAlignment="1" applyProtection="1">
      <alignment horizontal="center" vertical="top"/>
    </xf>
    <xf numFmtId="0" fontId="25" fillId="5" borderId="2" xfId="0" applyFont="1" applyFill="1" applyBorder="1"/>
    <xf numFmtId="0" fontId="47" fillId="0" borderId="2" xfId="0" applyFont="1" applyBorder="1"/>
    <xf numFmtId="0" fontId="1" fillId="0" borderId="30" xfId="0" applyFont="1" applyBorder="1"/>
    <xf numFmtId="166" fontId="7" fillId="6" borderId="6" xfId="1" applyNumberFormat="1" applyFont="1" applyFill="1" applyBorder="1" applyProtection="1"/>
    <xf numFmtId="166" fontId="4" fillId="3" borderId="36" xfId="1" applyNumberFormat="1" applyFont="1" applyFill="1" applyBorder="1" applyProtection="1"/>
    <xf numFmtId="0" fontId="25" fillId="6" borderId="31" xfId="0" applyFont="1" applyFill="1" applyBorder="1"/>
    <xf numFmtId="166" fontId="40" fillId="6" borderId="37" xfId="1" applyNumberFormat="1" applyFont="1" applyFill="1" applyBorder="1" applyProtection="1"/>
    <xf numFmtId="166" fontId="36" fillId="6" borderId="42" xfId="1" applyNumberFormat="1" applyFont="1" applyFill="1" applyBorder="1" applyProtection="1"/>
    <xf numFmtId="166" fontId="7" fillId="6" borderId="43" xfId="1" applyNumberFormat="1" applyFont="1" applyFill="1" applyBorder="1" applyProtection="1"/>
    <xf numFmtId="2" fontId="40" fillId="8" borderId="0" xfId="0" applyNumberFormat="1" applyFont="1" applyFill="1" applyAlignment="1">
      <alignment horizontal="center"/>
    </xf>
    <xf numFmtId="166" fontId="34" fillId="3" borderId="31" xfId="1" applyNumberFormat="1" applyFont="1" applyFill="1" applyBorder="1" applyAlignment="1" applyProtection="1">
      <alignment horizontal="center" vertical="top"/>
    </xf>
    <xf numFmtId="1" fontId="22" fillId="0" borderId="0" xfId="0" applyNumberFormat="1" applyFont="1"/>
    <xf numFmtId="0" fontId="25" fillId="0" borderId="32" xfId="0" applyFont="1" applyBorder="1"/>
    <xf numFmtId="166" fontId="26" fillId="0" borderId="28" xfId="1" applyNumberFormat="1" applyFont="1" applyFill="1" applyBorder="1" applyProtection="1">
      <protection locked="0"/>
    </xf>
    <xf numFmtId="166" fontId="26" fillId="0" borderId="0" xfId="1" applyNumberFormat="1" applyFont="1" applyFill="1" applyBorder="1" applyProtection="1">
      <protection locked="0"/>
    </xf>
    <xf numFmtId="166" fontId="4" fillId="0" borderId="32" xfId="1" applyNumberFormat="1" applyFont="1" applyFill="1" applyBorder="1" applyProtection="1"/>
    <xf numFmtId="166" fontId="4" fillId="0" borderId="37" xfId="1" applyNumberFormat="1" applyFont="1" applyFill="1" applyBorder="1" applyProtection="1"/>
    <xf numFmtId="166" fontId="16" fillId="0" borderId="0" xfId="0" applyNumberFormat="1" applyFont="1"/>
    <xf numFmtId="166" fontId="25" fillId="0" borderId="0" xfId="0" applyNumberFormat="1" applyFont="1" applyAlignment="1">
      <alignment horizontal="left" indent="1"/>
    </xf>
    <xf numFmtId="0" fontId="0" fillId="6" borderId="29" xfId="0" applyFill="1" applyBorder="1" applyAlignment="1">
      <alignment horizontal="center"/>
    </xf>
    <xf numFmtId="0" fontId="0" fillId="8" borderId="2" xfId="0" applyFill="1" applyBorder="1" applyAlignment="1">
      <alignment horizontal="center"/>
    </xf>
    <xf numFmtId="2" fontId="40" fillId="8" borderId="0" xfId="0" applyNumberFormat="1" applyFont="1" applyFill="1" applyAlignment="1">
      <alignment horizontal="left"/>
    </xf>
    <xf numFmtId="166" fontId="4" fillId="8" borderId="0" xfId="1" applyNumberFormat="1" applyFont="1" applyFill="1" applyBorder="1" applyProtection="1"/>
    <xf numFmtId="166" fontId="36" fillId="8" borderId="26" xfId="1" applyNumberFormat="1" applyFont="1" applyFill="1" applyBorder="1" applyProtection="1"/>
    <xf numFmtId="166" fontId="7" fillId="8" borderId="0" xfId="1" applyNumberFormat="1" applyFont="1" applyFill="1" applyBorder="1" applyProtection="1"/>
    <xf numFmtId="166" fontId="40" fillId="8" borderId="0" xfId="1" applyNumberFormat="1" applyFont="1" applyFill="1" applyBorder="1" applyProtection="1"/>
    <xf numFmtId="166" fontId="7" fillId="8" borderId="6" xfId="1" applyNumberFormat="1" applyFont="1" applyFill="1" applyBorder="1" applyProtection="1"/>
    <xf numFmtId="10" fontId="42" fillId="0" borderId="4" xfId="2" applyNumberFormat="1" applyFont="1" applyBorder="1" applyAlignment="1" applyProtection="1">
      <alignment horizontal="left" vertical="center"/>
    </xf>
    <xf numFmtId="1" fontId="40" fillId="0" borderId="0" xfId="0" applyNumberFormat="1" applyFont="1" applyAlignment="1">
      <alignment horizontal="left"/>
    </xf>
    <xf numFmtId="0" fontId="40" fillId="0" borderId="0" xfId="0" applyFont="1"/>
    <xf numFmtId="0" fontId="40" fillId="5" borderId="44" xfId="0" applyFont="1" applyFill="1" applyBorder="1" applyAlignment="1">
      <alignment horizontal="center"/>
    </xf>
    <xf numFmtId="10" fontId="40" fillId="5" borderId="46" xfId="2" applyNumberFormat="1" applyFont="1" applyFill="1" applyBorder="1" applyProtection="1">
      <protection locked="0"/>
    </xf>
    <xf numFmtId="10" fontId="40" fillId="5" borderId="46" xfId="2" quotePrefix="1" applyNumberFormat="1" applyFont="1" applyFill="1" applyBorder="1" applyProtection="1">
      <protection locked="0"/>
    </xf>
    <xf numFmtId="3" fontId="40" fillId="0" borderId="45" xfId="1" applyNumberFormat="1" applyFont="1" applyFill="1" applyBorder="1" applyProtection="1"/>
    <xf numFmtId="3" fontId="40" fillId="6" borderId="45" xfId="1" applyNumberFormat="1" applyFont="1" applyFill="1" applyBorder="1" applyProtection="1"/>
    <xf numFmtId="0" fontId="2" fillId="0" borderId="0" xfId="0" quotePrefix="1" applyFont="1"/>
    <xf numFmtId="167" fontId="2" fillId="6" borderId="2" xfId="0" applyNumberFormat="1" applyFont="1" applyFill="1" applyBorder="1" applyAlignment="1">
      <alignment horizontal="left"/>
    </xf>
    <xf numFmtId="166" fontId="4" fillId="3" borderId="22" xfId="1" applyNumberFormat="1" applyFont="1" applyFill="1" applyBorder="1" applyProtection="1"/>
    <xf numFmtId="166" fontId="43" fillId="6" borderId="32" xfId="1" applyNumberFormat="1" applyFont="1" applyFill="1" applyBorder="1" applyProtection="1">
      <protection locked="0"/>
    </xf>
    <xf numFmtId="166" fontId="2" fillId="2" borderId="6" xfId="1" applyNumberFormat="1" applyFont="1" applyFill="1" applyBorder="1" applyProtection="1"/>
    <xf numFmtId="164" fontId="14" fillId="2" borderId="29" xfId="2" applyNumberFormat="1" applyFont="1" applyFill="1" applyBorder="1" applyProtection="1"/>
    <xf numFmtId="166" fontId="2" fillId="2" borderId="38" xfId="1" applyNumberFormat="1" applyFont="1" applyFill="1" applyBorder="1" applyProtection="1"/>
    <xf numFmtId="164" fontId="21" fillId="2" borderId="29" xfId="2" applyNumberFormat="1" applyFont="1" applyFill="1" applyBorder="1" applyProtection="1"/>
    <xf numFmtId="164" fontId="21" fillId="2" borderId="31" xfId="2" applyNumberFormat="1" applyFont="1" applyFill="1" applyBorder="1" applyProtection="1"/>
    <xf numFmtId="42" fontId="21" fillId="2" borderId="38" xfId="1" applyNumberFormat="1" applyFont="1" applyFill="1" applyBorder="1" applyProtection="1"/>
    <xf numFmtId="42" fontId="21" fillId="2" borderId="33" xfId="1" applyNumberFormat="1" applyFont="1" applyFill="1" applyBorder="1" applyProtection="1"/>
    <xf numFmtId="166" fontId="4" fillId="0" borderId="4" xfId="1" quotePrefix="1" applyNumberFormat="1" applyFont="1" applyBorder="1" applyProtection="1"/>
    <xf numFmtId="0" fontId="51" fillId="0" borderId="0" xfId="0" applyFont="1"/>
    <xf numFmtId="0" fontId="52" fillId="0" borderId="0" xfId="0" applyFont="1" applyAlignment="1">
      <alignment horizontal="left" indent="1"/>
    </xf>
    <xf numFmtId="0" fontId="53" fillId="0" borderId="0" xfId="0" applyFont="1"/>
    <xf numFmtId="2" fontId="47" fillId="0" borderId="0" xfId="0" applyNumberFormat="1" applyFont="1" applyAlignment="1">
      <alignment horizontal="left"/>
    </xf>
    <xf numFmtId="2" fontId="54" fillId="0" borderId="0" xfId="0" applyNumberFormat="1" applyFont="1" applyAlignment="1">
      <alignment horizontal="left"/>
    </xf>
    <xf numFmtId="166" fontId="55" fillId="6" borderId="0" xfId="1" applyNumberFormat="1" applyFont="1" applyFill="1" applyProtection="1"/>
    <xf numFmtId="166" fontId="56" fillId="6" borderId="0" xfId="1" applyNumberFormat="1" applyFont="1" applyFill="1" applyProtection="1"/>
    <xf numFmtId="0" fontId="40" fillId="5" borderId="0" xfId="0" applyFont="1" applyFill="1" applyAlignment="1">
      <alignment vertical="top" wrapText="1"/>
    </xf>
    <xf numFmtId="166" fontId="26" fillId="0" borderId="0" xfId="1" applyNumberFormat="1" applyFont="1" applyAlignment="1" applyProtection="1">
      <alignment horizontal="right"/>
    </xf>
    <xf numFmtId="0" fontId="0" fillId="0" borderId="0" xfId="0" applyAlignment="1">
      <alignment horizontal="left" indent="1"/>
    </xf>
    <xf numFmtId="1" fontId="1" fillId="0" borderId="10" xfId="0" applyNumberFormat="1" applyFont="1" applyBorder="1"/>
    <xf numFmtId="0" fontId="2" fillId="0" borderId="48" xfId="0" applyFont="1" applyBorder="1"/>
    <xf numFmtId="0" fontId="2" fillId="0" borderId="10" xfId="0" applyFont="1" applyBorder="1"/>
    <xf numFmtId="0" fontId="0" fillId="0" borderId="10" xfId="0" applyBorder="1"/>
    <xf numFmtId="0" fontId="2" fillId="0" borderId="0" xfId="1" applyNumberFormat="1" applyFont="1" applyFill="1" applyBorder="1" applyProtection="1">
      <protection locked="0"/>
    </xf>
    <xf numFmtId="44" fontId="2" fillId="0" borderId="0" xfId="1" applyFont="1"/>
    <xf numFmtId="44" fontId="0" fillId="0" borderId="47" xfId="1" applyFont="1" applyBorder="1"/>
    <xf numFmtId="0" fontId="2" fillId="0" borderId="51" xfId="0" applyFont="1" applyBorder="1"/>
    <xf numFmtId="0" fontId="2" fillId="0" borderId="26" xfId="1" applyNumberFormat="1" applyFont="1" applyFill="1" applyBorder="1" applyProtection="1">
      <protection locked="0"/>
    </xf>
    <xf numFmtId="44" fontId="2" fillId="0" borderId="50" xfId="1" applyFont="1" applyBorder="1"/>
    <xf numFmtId="44" fontId="0" fillId="0" borderId="52" xfId="1" applyFont="1" applyBorder="1"/>
    <xf numFmtId="44" fontId="1" fillId="17" borderId="46" xfId="0" applyNumberFormat="1" applyFont="1" applyFill="1" applyBorder="1"/>
    <xf numFmtId="0" fontId="2" fillId="0" borderId="49" xfId="0" applyFont="1" applyBorder="1"/>
    <xf numFmtId="0" fontId="1" fillId="0" borderId="53" xfId="0" applyFont="1" applyBorder="1"/>
    <xf numFmtId="0" fontId="0" fillId="0" borderId="54" xfId="0" applyBorder="1"/>
    <xf numFmtId="0" fontId="1" fillId="19" borderId="0" xfId="0" applyFont="1" applyFill="1"/>
    <xf numFmtId="0" fontId="0" fillId="19" borderId="54" xfId="0" applyFill="1" applyBorder="1"/>
    <xf numFmtId="0" fontId="3" fillId="0" borderId="0" xfId="1" applyNumberFormat="1" applyFont="1" applyFill="1" applyBorder="1" applyProtection="1">
      <protection locked="0"/>
    </xf>
    <xf numFmtId="44" fontId="0" fillId="0" borderId="0" xfId="1" applyFont="1"/>
    <xf numFmtId="44" fontId="0" fillId="0" borderId="46" xfId="1" applyFont="1" applyBorder="1"/>
    <xf numFmtId="44" fontId="0" fillId="20" borderId="0" xfId="1" applyFont="1" applyFill="1"/>
    <xf numFmtId="0" fontId="0" fillId="0" borderId="49" xfId="0" applyBorder="1"/>
    <xf numFmtId="44" fontId="0" fillId="0" borderId="10" xfId="1" applyFont="1" applyBorder="1"/>
    <xf numFmtId="0" fontId="0" fillId="0" borderId="26" xfId="0" applyBorder="1"/>
    <xf numFmtId="0" fontId="0" fillId="0" borderId="52" xfId="0" applyBorder="1"/>
    <xf numFmtId="44" fontId="2" fillId="0" borderId="46" xfId="1" applyFont="1" applyBorder="1"/>
    <xf numFmtId="0" fontId="1" fillId="0" borderId="55" xfId="0" applyFont="1" applyBorder="1"/>
    <xf numFmtId="0" fontId="0" fillId="0" borderId="55" xfId="0" applyBorder="1"/>
    <xf numFmtId="0" fontId="1" fillId="19" borderId="56" xfId="0" applyFont="1" applyFill="1" applyBorder="1"/>
    <xf numFmtId="44" fontId="1" fillId="21" borderId="47" xfId="0" applyNumberFormat="1" applyFont="1" applyFill="1" applyBorder="1"/>
    <xf numFmtId="44" fontId="1" fillId="21" borderId="47" xfId="1" applyFont="1" applyFill="1" applyBorder="1" applyProtection="1"/>
    <xf numFmtId="0" fontId="20" fillId="0" borderId="0" xfId="0" applyFont="1"/>
    <xf numFmtId="0" fontId="2" fillId="0" borderId="57" xfId="0" applyFont="1" applyBorder="1"/>
    <xf numFmtId="44" fontId="2" fillId="0" borderId="0" xfId="1" applyFont="1" applyProtection="1"/>
    <xf numFmtId="44" fontId="0" fillId="0" borderId="47" xfId="1" applyFont="1" applyBorder="1" applyProtection="1"/>
    <xf numFmtId="44" fontId="0" fillId="0" borderId="0" xfId="1" applyFont="1" applyProtection="1"/>
    <xf numFmtId="0" fontId="0" fillId="0" borderId="40" xfId="0" applyBorder="1"/>
    <xf numFmtId="44" fontId="0" fillId="0" borderId="26" xfId="1" applyFont="1" applyBorder="1" applyProtection="1"/>
    <xf numFmtId="44" fontId="0" fillId="0" borderId="52" xfId="1" applyFont="1" applyBorder="1" applyProtection="1"/>
    <xf numFmtId="44" fontId="1" fillId="22" borderId="46" xfId="1" applyFont="1" applyFill="1" applyBorder="1" applyProtection="1"/>
    <xf numFmtId="0" fontId="59" fillId="15" borderId="48" xfId="0" applyFont="1" applyFill="1" applyBorder="1" applyAlignment="1">
      <alignment horizontal="center"/>
    </xf>
    <xf numFmtId="0" fontId="2" fillId="0" borderId="32" xfId="0" applyFont="1" applyBorder="1"/>
    <xf numFmtId="44" fontId="1" fillId="10" borderId="46" xfId="1" applyFont="1" applyFill="1" applyBorder="1" applyProtection="1"/>
    <xf numFmtId="44" fontId="1" fillId="0" borderId="50" xfId="1" applyFont="1" applyBorder="1"/>
    <xf numFmtId="44" fontId="1" fillId="10" borderId="46" xfId="0" applyNumberFormat="1" applyFont="1" applyFill="1" applyBorder="1"/>
    <xf numFmtId="0" fontId="1" fillId="0" borderId="49" xfId="0" applyFont="1" applyBorder="1"/>
    <xf numFmtId="0" fontId="0" fillId="0" borderId="48" xfId="0" applyBorder="1"/>
    <xf numFmtId="0" fontId="60" fillId="0" borderId="0" xfId="3" applyFont="1"/>
    <xf numFmtId="0" fontId="61" fillId="3" borderId="21" xfId="3" applyFont="1" applyFill="1" applyBorder="1"/>
    <xf numFmtId="0" fontId="2" fillId="3" borderId="23" xfId="3" applyFill="1" applyBorder="1"/>
    <xf numFmtId="0" fontId="2" fillId="3" borderId="22" xfId="3" applyFill="1" applyBorder="1"/>
    <xf numFmtId="0" fontId="2" fillId="0" borderId="3" xfId="3" applyBorder="1"/>
    <xf numFmtId="0" fontId="1" fillId="0" borderId="3" xfId="3" applyFont="1" applyBorder="1"/>
    <xf numFmtId="0" fontId="16" fillId="0" borderId="60" xfId="3" applyFont="1" applyBorder="1"/>
    <xf numFmtId="0" fontId="16" fillId="0" borderId="47" xfId="3" applyFont="1" applyBorder="1"/>
    <xf numFmtId="0" fontId="16" fillId="0" borderId="61" xfId="3" applyFont="1" applyBorder="1"/>
    <xf numFmtId="0" fontId="57" fillId="23" borderId="3" xfId="3" applyFont="1" applyFill="1" applyBorder="1"/>
    <xf numFmtId="9" fontId="62" fillId="23" borderId="0" xfId="3" applyNumberFormat="1" applyFont="1" applyFill="1"/>
    <xf numFmtId="9" fontId="57" fillId="23" borderId="0" xfId="3" applyNumberFormat="1" applyFont="1" applyFill="1"/>
    <xf numFmtId="43" fontId="57" fillId="23" borderId="5" xfId="5" applyFont="1" applyFill="1" applyBorder="1"/>
    <xf numFmtId="43" fontId="57" fillId="23" borderId="6" xfId="5" applyFont="1" applyFill="1" applyBorder="1"/>
    <xf numFmtId="43" fontId="57" fillId="23" borderId="8" xfId="5" applyFont="1" applyFill="1" applyBorder="1"/>
    <xf numFmtId="0" fontId="2" fillId="0" borderId="5" xfId="3" applyBorder="1"/>
    <xf numFmtId="9" fontId="2" fillId="0" borderId="6" xfId="3" quotePrefix="1" applyNumberFormat="1" applyBorder="1"/>
    <xf numFmtId="9" fontId="2" fillId="0" borderId="6" xfId="3" applyNumberFormat="1" applyBorder="1"/>
    <xf numFmtId="43" fontId="0" fillId="0" borderId="6" xfId="5" applyFont="1" applyBorder="1"/>
    <xf numFmtId="0" fontId="2" fillId="0" borderId="6" xfId="3" applyBorder="1"/>
    <xf numFmtId="0" fontId="2" fillId="0" borderId="8" xfId="3" applyBorder="1"/>
    <xf numFmtId="43" fontId="58" fillId="0" borderId="0" xfId="5" applyFont="1" applyFill="1" applyBorder="1"/>
    <xf numFmtId="16" fontId="25" fillId="5" borderId="0" xfId="0" applyNumberFormat="1" applyFont="1" applyFill="1" applyAlignment="1">
      <alignment horizontal="left"/>
    </xf>
    <xf numFmtId="0" fontId="25" fillId="5" borderId="0" xfId="0" applyFont="1" applyFill="1" applyAlignment="1">
      <alignment horizontal="left"/>
    </xf>
    <xf numFmtId="0" fontId="42" fillId="0" borderId="14" xfId="0" applyFont="1" applyBorder="1" applyAlignment="1">
      <alignment horizontal="left" vertical="top" wrapText="1"/>
    </xf>
    <xf numFmtId="0" fontId="42" fillId="0" borderId="11" xfId="0" applyFont="1" applyBorder="1" applyAlignment="1">
      <alignment horizontal="left" vertical="top" wrapText="1"/>
    </xf>
    <xf numFmtId="0" fontId="42" fillId="0" borderId="12" xfId="0" applyFont="1" applyBorder="1" applyAlignment="1">
      <alignment horizontal="left" vertical="top" wrapText="1"/>
    </xf>
    <xf numFmtId="0" fontId="42" fillId="0" borderId="15" xfId="0" applyFont="1" applyBorder="1" applyAlignment="1">
      <alignment horizontal="left" vertical="top" wrapText="1"/>
    </xf>
    <xf numFmtId="0" fontId="42" fillId="0" borderId="0" xfId="0" applyFont="1" applyAlignment="1">
      <alignment horizontal="left" vertical="top" wrapText="1"/>
    </xf>
    <xf numFmtId="0" fontId="42" fillId="0" borderId="13" xfId="0" applyFont="1" applyBorder="1" applyAlignment="1">
      <alignment horizontal="left" vertical="top" wrapText="1"/>
    </xf>
    <xf numFmtId="0" fontId="42" fillId="0" borderId="16" xfId="0" applyFont="1" applyBorder="1" applyAlignment="1">
      <alignment horizontal="left" vertical="top" wrapText="1"/>
    </xf>
    <xf numFmtId="0" fontId="42" fillId="0" borderId="17" xfId="0" applyFont="1" applyBorder="1" applyAlignment="1">
      <alignment horizontal="left" vertical="top" wrapText="1"/>
    </xf>
    <xf numFmtId="0" fontId="42" fillId="0" borderId="18" xfId="0" applyFont="1" applyBorder="1" applyAlignment="1">
      <alignment horizontal="left" vertical="top" wrapText="1"/>
    </xf>
    <xf numFmtId="10" fontId="25" fillId="5" borderId="0" xfId="2" applyNumberFormat="1" applyFont="1" applyFill="1" applyBorder="1" applyAlignment="1" applyProtection="1">
      <alignment horizontal="left" vertical="center"/>
      <protection locked="0"/>
    </xf>
    <xf numFmtId="14" fontId="25" fillId="5" borderId="0" xfId="0" applyNumberFormat="1" applyFont="1" applyFill="1" applyAlignment="1">
      <alignment horizontal="left"/>
    </xf>
    <xf numFmtId="1" fontId="2" fillId="5" borderId="0" xfId="0" applyNumberFormat="1" applyFont="1" applyFill="1" applyAlignment="1">
      <alignment horizontal="left"/>
    </xf>
    <xf numFmtId="1" fontId="2" fillId="5" borderId="0" xfId="0" applyNumberFormat="1" applyFont="1" applyFill="1" applyAlignment="1">
      <alignment horizontal="left" indent="1"/>
    </xf>
    <xf numFmtId="0" fontId="20" fillId="2" borderId="1" xfId="0" applyFont="1" applyFill="1" applyBorder="1" applyAlignment="1">
      <alignment horizontal="center" textRotation="90"/>
    </xf>
    <xf numFmtId="0" fontId="1" fillId="2" borderId="5" xfId="0" applyFont="1" applyFill="1" applyBorder="1" applyAlignment="1">
      <alignment horizontal="center" textRotation="90"/>
    </xf>
    <xf numFmtId="0" fontId="38" fillId="7" borderId="20" xfId="0" applyFont="1" applyFill="1" applyBorder="1" applyAlignment="1">
      <alignment horizontal="left" vertical="top" wrapText="1"/>
    </xf>
    <xf numFmtId="0" fontId="38" fillId="7" borderId="0" xfId="0" applyFont="1" applyFill="1" applyAlignment="1">
      <alignment horizontal="left" vertical="top" wrapText="1"/>
    </xf>
    <xf numFmtId="0" fontId="40" fillId="0" borderId="0" xfId="0" applyFont="1" applyAlignment="1">
      <alignment horizontal="center"/>
    </xf>
    <xf numFmtId="0" fontId="59" fillId="16" borderId="48" xfId="0" applyFont="1" applyFill="1" applyBorder="1" applyAlignment="1">
      <alignment horizontal="center"/>
    </xf>
    <xf numFmtId="0" fontId="59" fillId="18" borderId="48" xfId="0" applyFont="1" applyFill="1" applyBorder="1" applyAlignment="1">
      <alignment horizontal="center"/>
    </xf>
    <xf numFmtId="0" fontId="59" fillId="14" borderId="48" xfId="0" applyFont="1" applyFill="1" applyBorder="1" applyAlignment="1">
      <alignment horizontal="center"/>
    </xf>
    <xf numFmtId="0" fontId="1" fillId="0" borderId="58" xfId="3" applyFont="1" applyBorder="1" applyAlignment="1">
      <alignment horizontal="center"/>
    </xf>
    <xf numFmtId="0" fontId="1" fillId="0" borderId="46" xfId="3" applyFont="1" applyBorder="1" applyAlignment="1">
      <alignment horizontal="center"/>
    </xf>
    <xf numFmtId="0" fontId="1" fillId="0" borderId="59" xfId="3" applyFont="1" applyBorder="1" applyAlignment="1">
      <alignment horizontal="center"/>
    </xf>
    <xf numFmtId="0" fontId="40" fillId="0" borderId="0" xfId="3" applyFont="1" applyAlignment="1">
      <alignment horizontal="center" wrapText="1"/>
    </xf>
    <xf numFmtId="0" fontId="40" fillId="0" borderId="2" xfId="3" applyFont="1" applyBorder="1" applyAlignment="1">
      <alignment horizontal="center" wrapText="1"/>
    </xf>
    <xf numFmtId="0" fontId="1" fillId="0" borderId="62" xfId="3" applyFont="1" applyBorder="1" applyAlignment="1">
      <alignment horizontal="center"/>
    </xf>
    <xf numFmtId="0" fontId="1" fillId="0" borderId="63" xfId="3" applyFont="1" applyBorder="1" applyAlignment="1">
      <alignment horizontal="center"/>
    </xf>
    <xf numFmtId="0" fontId="1" fillId="0" borderId="64" xfId="3" applyFont="1" applyBorder="1" applyAlignment="1">
      <alignment horizontal="center"/>
    </xf>
    <xf numFmtId="0" fontId="38" fillId="4" borderId="20" xfId="0" applyFont="1" applyFill="1" applyBorder="1" applyAlignment="1">
      <alignment horizontal="left" vertical="top" wrapText="1"/>
    </xf>
    <xf numFmtId="0" fontId="38" fillId="4" borderId="0" xfId="0" applyFont="1" applyFill="1" applyAlignment="1">
      <alignment horizontal="left" vertical="top" wrapText="1"/>
    </xf>
    <xf numFmtId="0" fontId="20" fillId="2" borderId="1" xfId="3" applyFont="1" applyFill="1" applyBorder="1" applyAlignment="1">
      <alignment horizontal="center" textRotation="90"/>
    </xf>
    <xf numFmtId="0" fontId="1" fillId="2" borderId="5" xfId="3" applyFont="1" applyFill="1" applyBorder="1" applyAlignment="1">
      <alignment horizontal="center" textRotation="90"/>
    </xf>
    <xf numFmtId="10" fontId="25" fillId="5" borderId="2" xfId="2" applyNumberFormat="1" applyFont="1" applyFill="1" applyBorder="1" applyAlignment="1" applyProtection="1">
      <alignment horizontal="left" vertical="center"/>
      <protection locked="0"/>
    </xf>
    <xf numFmtId="0" fontId="27" fillId="0" borderId="3" xfId="3" applyFont="1" applyBorder="1" applyAlignment="1">
      <alignment horizontal="left" vertical="top" wrapText="1"/>
    </xf>
    <xf numFmtId="0" fontId="27" fillId="0" borderId="0" xfId="3" applyFont="1" applyAlignment="1">
      <alignment horizontal="left" vertical="top" wrapText="1"/>
    </xf>
    <xf numFmtId="0" fontId="29" fillId="0" borderId="14" xfId="3" applyFont="1" applyBorder="1" applyAlignment="1">
      <alignment horizontal="left" vertical="top"/>
    </xf>
    <xf numFmtId="0" fontId="29" fillId="0" borderId="11" xfId="3" applyFont="1" applyBorder="1" applyAlignment="1">
      <alignment horizontal="left" vertical="top"/>
    </xf>
    <xf numFmtId="0" fontId="29" fillId="0" borderId="12" xfId="3" applyFont="1" applyBorder="1" applyAlignment="1">
      <alignment horizontal="left" vertical="top"/>
    </xf>
    <xf numFmtId="0" fontId="29" fillId="0" borderId="15" xfId="3" applyFont="1" applyBorder="1" applyAlignment="1">
      <alignment horizontal="left" vertical="top"/>
    </xf>
    <xf numFmtId="0" fontId="29" fillId="0" borderId="0" xfId="3" applyFont="1" applyAlignment="1">
      <alignment horizontal="left" vertical="top"/>
    </xf>
    <xf numFmtId="0" fontId="29" fillId="0" borderId="13" xfId="3" applyFont="1" applyBorder="1" applyAlignment="1">
      <alignment horizontal="left" vertical="top"/>
    </xf>
    <xf numFmtId="0" fontId="15" fillId="2" borderId="5" xfId="0" applyFont="1" applyFill="1" applyBorder="1" applyAlignment="1">
      <alignment horizontal="center" textRotation="90"/>
    </xf>
    <xf numFmtId="0" fontId="1" fillId="0" borderId="23" xfId="0" applyFont="1" applyBorder="1" applyAlignment="1">
      <alignment horizontal="center"/>
    </xf>
    <xf numFmtId="1" fontId="25" fillId="0" borderId="0" xfId="0" applyNumberFormat="1" applyFont="1" applyAlignment="1">
      <alignment horizontal="left" indent="1"/>
    </xf>
    <xf numFmtId="0" fontId="1" fillId="0" borderId="0" xfId="0" applyFont="1" applyAlignment="1">
      <alignment horizontal="center"/>
    </xf>
    <xf numFmtId="166" fontId="34" fillId="0" borderId="29" xfId="1" applyNumberFormat="1" applyFont="1" applyBorder="1" applyAlignment="1" applyProtection="1">
      <alignment horizontal="center" vertical="top"/>
    </xf>
    <xf numFmtId="166" fontId="34" fillId="0" borderId="2" xfId="1" applyNumberFormat="1" applyFont="1" applyBorder="1" applyAlignment="1" applyProtection="1">
      <alignment horizontal="center" vertical="top"/>
    </xf>
    <xf numFmtId="166" fontId="33" fillId="0" borderId="29" xfId="1" applyNumberFormat="1" applyFont="1" applyBorder="1" applyAlignment="1" applyProtection="1">
      <alignment horizontal="center" vertical="top"/>
    </xf>
    <xf numFmtId="166" fontId="33" fillId="0" borderId="30" xfId="1" applyNumberFormat="1" applyFont="1" applyBorder="1" applyAlignment="1" applyProtection="1">
      <alignment horizontal="center" vertical="top"/>
    </xf>
    <xf numFmtId="0" fontId="25" fillId="5" borderId="28" xfId="0" applyFont="1" applyFill="1" applyBorder="1" applyAlignment="1">
      <alignment horizontal="left"/>
    </xf>
    <xf numFmtId="166" fontId="32" fillId="0" borderId="29" xfId="1" applyNumberFormat="1" applyFont="1" applyBorder="1" applyAlignment="1" applyProtection="1">
      <alignment horizontal="center" vertical="top"/>
    </xf>
    <xf numFmtId="166" fontId="32" fillId="0" borderId="30" xfId="1" applyNumberFormat="1" applyFont="1" applyBorder="1" applyAlignment="1" applyProtection="1">
      <alignment horizontal="center" vertical="top"/>
    </xf>
    <xf numFmtId="166" fontId="33" fillId="0" borderId="2" xfId="1" applyNumberFormat="1" applyFont="1" applyBorder="1" applyAlignment="1" applyProtection="1">
      <alignment horizontal="center" vertical="top"/>
    </xf>
    <xf numFmtId="0" fontId="29" fillId="0" borderId="14" xfId="0" applyFont="1" applyBorder="1" applyAlignment="1">
      <alignment horizontal="left" vertical="top" wrapText="1"/>
    </xf>
    <xf numFmtId="0" fontId="29" fillId="0" borderId="11" xfId="0" applyFont="1" applyBorder="1" applyAlignment="1">
      <alignment horizontal="left" vertical="top" wrapText="1"/>
    </xf>
    <xf numFmtId="0" fontId="29" fillId="0" borderId="12" xfId="0" applyFont="1" applyBorder="1" applyAlignment="1">
      <alignment horizontal="left" vertical="top" wrapText="1"/>
    </xf>
    <xf numFmtId="0" fontId="29" fillId="0" borderId="15" xfId="0" applyFont="1" applyBorder="1" applyAlignment="1">
      <alignment horizontal="left" vertical="top" wrapText="1"/>
    </xf>
    <xf numFmtId="0" fontId="29" fillId="0" borderId="0" xfId="0" applyFont="1" applyAlignment="1">
      <alignment horizontal="left" vertical="top" wrapText="1"/>
    </xf>
    <xf numFmtId="0" fontId="29" fillId="0" borderId="13" xfId="0" applyFont="1" applyBorder="1" applyAlignment="1">
      <alignment horizontal="left" vertical="top" wrapText="1"/>
    </xf>
    <xf numFmtId="0" fontId="29" fillId="0" borderId="16" xfId="0" applyFont="1" applyBorder="1" applyAlignment="1">
      <alignment horizontal="left" vertical="top" wrapText="1"/>
    </xf>
    <xf numFmtId="0" fontId="29" fillId="0" borderId="17" xfId="0" applyFont="1" applyBorder="1" applyAlignment="1">
      <alignment horizontal="left" vertical="top" wrapText="1"/>
    </xf>
    <xf numFmtId="0" fontId="29" fillId="0" borderId="18" xfId="0" applyFont="1" applyBorder="1" applyAlignment="1">
      <alignment horizontal="left" vertical="top" wrapText="1"/>
    </xf>
    <xf numFmtId="10" fontId="25" fillId="5" borderId="17" xfId="2" applyNumberFormat="1" applyFont="1" applyFill="1" applyBorder="1" applyAlignment="1" applyProtection="1">
      <alignment horizontal="left" vertical="center"/>
      <protection locked="0"/>
    </xf>
    <xf numFmtId="0" fontId="35" fillId="0" borderId="0" xfId="0" applyFont="1" applyAlignment="1">
      <alignment horizontal="left" vertical="top" wrapText="1"/>
    </xf>
    <xf numFmtId="0" fontId="35" fillId="9" borderId="1" xfId="0" applyFont="1" applyFill="1" applyBorder="1" applyAlignment="1">
      <alignment horizontal="left" vertical="top" wrapText="1"/>
    </xf>
    <xf numFmtId="0" fontId="35" fillId="9" borderId="3" xfId="0" applyFont="1" applyFill="1" applyBorder="1" applyAlignment="1">
      <alignment horizontal="left" vertical="top" wrapText="1"/>
    </xf>
    <xf numFmtId="0" fontId="35" fillId="9" borderId="5" xfId="0" applyFont="1" applyFill="1" applyBorder="1" applyAlignment="1">
      <alignment horizontal="left" vertical="top" wrapText="1"/>
    </xf>
    <xf numFmtId="166" fontId="13" fillId="0" borderId="2" xfId="1" applyNumberFormat="1" applyFont="1" applyBorder="1" applyAlignment="1" applyProtection="1">
      <alignment horizontal="center"/>
    </xf>
    <xf numFmtId="166" fontId="13" fillId="0" borderId="7" xfId="1" applyNumberFormat="1" applyFont="1" applyBorder="1" applyAlignment="1" applyProtection="1">
      <alignment horizontal="center"/>
    </xf>
    <xf numFmtId="166" fontId="12" fillId="0" borderId="2" xfId="1" applyNumberFormat="1" applyFont="1" applyBorder="1" applyAlignment="1" applyProtection="1">
      <alignment horizontal="center"/>
    </xf>
    <xf numFmtId="167" fontId="0" fillId="0" borderId="21" xfId="0" applyNumberFormat="1" applyBorder="1" applyAlignment="1">
      <alignment horizontal="center"/>
    </xf>
    <xf numFmtId="167" fontId="0" fillId="0" borderId="22" xfId="0" applyNumberFormat="1" applyBorder="1" applyAlignment="1">
      <alignment horizontal="center"/>
    </xf>
    <xf numFmtId="166" fontId="11" fillId="0" borderId="2" xfId="1" applyNumberFormat="1" applyFont="1" applyBorder="1" applyAlignment="1" applyProtection="1">
      <alignment horizontal="center"/>
    </xf>
    <xf numFmtId="10" fontId="25" fillId="5" borderId="0" xfId="0" applyNumberFormat="1" applyFont="1" applyFill="1" applyAlignment="1">
      <alignment horizontal="left"/>
    </xf>
    <xf numFmtId="0" fontId="35" fillId="10" borderId="1" xfId="0" applyFont="1" applyFill="1" applyBorder="1" applyAlignment="1">
      <alignment horizontal="left" vertical="top" wrapText="1"/>
    </xf>
    <xf numFmtId="0" fontId="35" fillId="10" borderId="2" xfId="0" applyFont="1" applyFill="1" applyBorder="1" applyAlignment="1">
      <alignment horizontal="left" vertical="top" wrapText="1"/>
    </xf>
    <xf numFmtId="0" fontId="35" fillId="10" borderId="7" xfId="0" applyFont="1" applyFill="1" applyBorder="1" applyAlignment="1">
      <alignment horizontal="left" vertical="top" wrapText="1"/>
    </xf>
    <xf numFmtId="0" fontId="35" fillId="10" borderId="3" xfId="0" applyFont="1" applyFill="1" applyBorder="1" applyAlignment="1">
      <alignment horizontal="left" vertical="top" wrapText="1"/>
    </xf>
    <xf numFmtId="0" fontId="35" fillId="10" borderId="0" xfId="0" applyFont="1" applyFill="1" applyAlignment="1">
      <alignment horizontal="left" vertical="top" wrapText="1"/>
    </xf>
    <xf numFmtId="0" fontId="35" fillId="10" borderId="4" xfId="0" applyFont="1" applyFill="1" applyBorder="1" applyAlignment="1">
      <alignment horizontal="left" vertical="top" wrapText="1"/>
    </xf>
    <xf numFmtId="0" fontId="35" fillId="10" borderId="5" xfId="0" applyFont="1" applyFill="1" applyBorder="1" applyAlignment="1">
      <alignment horizontal="left" vertical="top" wrapText="1"/>
    </xf>
    <xf numFmtId="0" fontId="35" fillId="10" borderId="6" xfId="0" applyFont="1" applyFill="1" applyBorder="1" applyAlignment="1">
      <alignment horizontal="left" vertical="top" wrapText="1"/>
    </xf>
    <xf numFmtId="0" fontId="35" fillId="10" borderId="8" xfId="0" applyFont="1" applyFill="1" applyBorder="1" applyAlignment="1">
      <alignment horizontal="left" vertical="top" wrapText="1"/>
    </xf>
    <xf numFmtId="0" fontId="29" fillId="0" borderId="24" xfId="0" applyFont="1" applyBorder="1" applyAlignment="1">
      <alignment horizontal="left" vertical="top" wrapText="1"/>
    </xf>
    <xf numFmtId="0" fontId="29" fillId="0" borderId="3" xfId="0" applyFont="1" applyBorder="1" applyAlignment="1">
      <alignment horizontal="left" vertical="top" wrapText="1"/>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29" fillId="0" borderId="25" xfId="0" applyFont="1" applyBorder="1" applyAlignment="1">
      <alignment horizontal="left" vertical="top" wrapText="1"/>
    </xf>
    <xf numFmtId="0" fontId="2" fillId="0" borderId="0" xfId="0" applyFont="1" applyAlignment="1">
      <alignment horizontal="left" vertical="top" wrapText="1"/>
    </xf>
  </cellXfs>
  <cellStyles count="6">
    <cellStyle name="Comma 2" xfId="5" xr:uid="{CBCB4F7F-1ACC-41F3-8820-884406CD2BB1}"/>
    <cellStyle name="Currency" xfId="1" builtinId="4"/>
    <cellStyle name="Hyperlink" xfId="4" builtinId="8" customBuiltin="1"/>
    <cellStyle name="Normal" xfId="0" builtinId="0"/>
    <cellStyle name="Normal 2" xfId="3" xr:uid="{00000000-0005-0000-0000-000003000000}"/>
    <cellStyle name="Percent" xfId="2" builtinId="5"/>
  </cellStyles>
  <dxfs count="6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CC"/>
        </patternFill>
      </fill>
    </dxf>
    <dxf>
      <fill>
        <patternFill>
          <bgColor rgb="FFFFFFCC"/>
        </patternFill>
      </fill>
    </dxf>
    <dxf>
      <fill>
        <patternFill>
          <bgColor rgb="FFFFFFCC"/>
        </patternFill>
      </fill>
    </dxf>
    <dxf>
      <fill>
        <patternFill>
          <bgColor theme="0" tint="-4.9989318521683403E-2"/>
        </patternFill>
      </fill>
    </dxf>
    <dxf>
      <fill>
        <patternFill>
          <bgColor theme="4" tint="0.39994506668294322"/>
        </patternFill>
      </fill>
    </dxf>
    <dxf>
      <fill>
        <patternFill>
          <bgColor theme="4" tint="0.79998168889431442"/>
        </patternFill>
      </fill>
    </dxf>
    <dxf>
      <font>
        <color rgb="FFFF0000"/>
      </font>
    </dxf>
    <dxf>
      <font>
        <color rgb="FFFF0000"/>
      </font>
    </dxf>
    <dxf>
      <font>
        <color rgb="FFFF0000"/>
      </font>
    </dxf>
    <dxf>
      <fill>
        <patternFill>
          <bgColor rgb="FFFFFFCC"/>
        </patternFill>
      </fill>
    </dxf>
    <dxf>
      <fill>
        <patternFill>
          <bgColor rgb="FFFFFFCC"/>
        </patternFill>
      </fill>
    </dxf>
    <dxf>
      <fill>
        <patternFill>
          <bgColor theme="0" tint="-4.9989318521683403E-2"/>
        </patternFill>
      </fill>
    </dxf>
    <dxf>
      <numFmt numFmtId="4" formatCode="#,##0.00"/>
    </dxf>
    <dxf>
      <fill>
        <patternFill>
          <bgColor theme="0" tint="-4.9989318521683403E-2"/>
        </patternFill>
      </fill>
    </dxf>
    <dxf>
      <fill>
        <patternFill>
          <bgColor rgb="FFFFFFCC"/>
        </patternFill>
      </fill>
    </dxf>
    <dxf>
      <fill>
        <patternFill>
          <bgColor theme="0" tint="-4.9989318521683403E-2"/>
        </patternFill>
      </fill>
    </dxf>
    <dxf>
      <numFmt numFmtId="4" formatCode="#,##0.00"/>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
      <fill>
        <patternFill patternType="none">
          <bgColor auto="1"/>
        </patternFill>
      </fill>
    </dxf>
    <dxf>
      <font>
        <strike val="0"/>
      </font>
      <numFmt numFmtId="13" formatCode="0%"/>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dxf>
    <dxf>
      <font>
        <color theme="1"/>
      </font>
    </dxf>
    <dxf>
      <font>
        <color theme="1"/>
      </font>
    </dxf>
    <dxf>
      <font>
        <color theme="1"/>
      </font>
    </dxf>
    <dxf>
      <font>
        <color theme="1"/>
      </font>
    </dxf>
    <dxf>
      <font>
        <color theme="1"/>
      </font>
    </dxf>
    <dxf>
      <font>
        <color theme="1"/>
      </font>
    </dxf>
    <dxf>
      <font>
        <color theme="1"/>
      </font>
    </dxf>
    <dxf>
      <font>
        <color rgb="FFFF0000"/>
      </font>
    </dxf>
    <dxf>
      <fill>
        <patternFill>
          <bgColor rgb="FFFFFFCC"/>
        </patternFill>
      </fill>
    </dxf>
    <dxf>
      <fill>
        <patternFill>
          <bgColor theme="0" tint="-4.9989318521683403E-2"/>
        </patternFill>
      </fill>
    </dxf>
    <dxf>
      <numFmt numFmtId="2" formatCode="0.00"/>
    </dxf>
    <dxf>
      <fill>
        <patternFill>
          <bgColor theme="0" tint="-4.9989318521683403E-2"/>
        </patternFill>
      </fill>
    </dxf>
    <dxf>
      <fill>
        <patternFill>
          <bgColor rgb="FFFFFFCC"/>
        </patternFill>
      </fill>
    </dxf>
    <dxf>
      <fill>
        <patternFill>
          <bgColor theme="0" tint="-4.9989318521683403E-2"/>
        </patternFill>
      </fill>
    </dxf>
    <dxf>
      <numFmt numFmtId="2" formatCode="0.00"/>
    </dxf>
    <dxf>
      <fill>
        <patternFill>
          <bgColor theme="0" tint="-4.9989318521683403E-2"/>
        </patternFill>
      </fill>
    </dxf>
    <dxf>
      <fill>
        <patternFill>
          <bgColor rgb="FFFFFFCC"/>
        </patternFill>
      </fill>
    </dxf>
    <dxf>
      <fill>
        <patternFill>
          <bgColor theme="0" tint="-4.9989318521683403E-2"/>
        </patternFill>
      </fill>
    </dxf>
    <dxf>
      <numFmt numFmtId="2" formatCode="0.00"/>
    </dxf>
    <dxf>
      <fill>
        <patternFill>
          <bgColor theme="0" tint="-4.9989318521683403E-2"/>
        </patternFill>
      </fill>
    </dxf>
    <dxf>
      <fill>
        <patternFill>
          <bgColor rgb="FFFFFFCC"/>
        </patternFill>
      </fill>
    </dxf>
    <dxf>
      <fill>
        <patternFill>
          <bgColor theme="0" tint="-4.9989318521683403E-2"/>
        </patternFill>
      </fill>
    </dxf>
    <dxf>
      <numFmt numFmtId="2" formatCode="0.00"/>
    </dxf>
    <dxf>
      <fill>
        <patternFill>
          <bgColor theme="0" tint="-4.9989318521683403E-2"/>
        </patternFill>
      </fill>
    </dxf>
    <dxf>
      <fill>
        <patternFill patternType="none">
          <bgColor auto="1"/>
        </patternFill>
      </fill>
    </dxf>
    <dxf>
      <font>
        <strike val="0"/>
      </font>
      <numFmt numFmtId="13" formatCode="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E7E7"/>
      <color rgb="FFFFFF66"/>
      <color rgb="FFFCD5C4"/>
      <color rgb="FFFBC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K$6"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285750</xdr:colOff>
          <xdr:row>4</xdr:row>
          <xdr:rowOff>85725</xdr:rowOff>
        </xdr:from>
        <xdr:to>
          <xdr:col>10</xdr:col>
          <xdr:colOff>428625</xdr:colOff>
          <xdr:row>5</xdr:row>
          <xdr:rowOff>66675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illinoisedu-my.sharepoint.com/personal/bprogers_illinois_edu/_vti_history/9728/Documents/Associate%20Director%20-%20Proposals/Templates/Budgets/WORKING%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General"/>
      <sheetName val="State of IL"/>
      <sheetName val="USDA Cap"/>
      <sheetName val="General - Cost Share"/>
      <sheetName val="Research or Instr UIC Component"/>
      <sheetName val="location tool"/>
      <sheetName val="WORKING BUDGET"/>
    </sheetNames>
    <sheetDataSet>
      <sheetData sheetId="0" refreshError="1"/>
      <sheetData sheetId="1" refreshError="1"/>
      <sheetData sheetId="2" refreshError="1"/>
      <sheetData sheetId="3">
        <row r="4">
          <cell r="AE4">
            <v>0.3</v>
          </cell>
        </row>
        <row r="5">
          <cell r="AE5">
            <v>0.22</v>
          </cell>
        </row>
      </sheetData>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2.bin"/><Relationship Id="rId1" Type="http://schemas.openxmlformats.org/officeDocument/2006/relationships/hyperlink" Target="https://servicerates.research.illinois.edu/"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bin"/><Relationship Id="rId1" Type="http://schemas.openxmlformats.org/officeDocument/2006/relationships/hyperlink" Target="https://servicerates.research.illinois.edu/"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5.bin"/><Relationship Id="rId1" Type="http://schemas.openxmlformats.org/officeDocument/2006/relationships/hyperlink" Target="https://servicerates.research.illinois.edu/" TargetMode="External"/><Relationship Id="rId5" Type="http://schemas.openxmlformats.org/officeDocument/2006/relationships/comments" Target="../comments1.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6.bin"/><Relationship Id="rId1" Type="http://schemas.openxmlformats.org/officeDocument/2006/relationships/hyperlink" Target="https://servicerates.research.illinois.edu/" TargetMode="External"/><Relationship Id="rId5" Type="http://schemas.openxmlformats.org/officeDocument/2006/relationships/comments" Target="../comments2.xm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59999389629810485"/>
    <pageSetUpPr fitToPage="1"/>
  </sheetPr>
  <dimension ref="A1:BD196"/>
  <sheetViews>
    <sheetView showGridLines="0" topLeftCell="A38" zoomScaleNormal="100" workbookViewId="0">
      <selection activeCell="P62" sqref="P62"/>
    </sheetView>
  </sheetViews>
  <sheetFormatPr defaultColWidth="9.140625" defaultRowHeight="12.75" x14ac:dyDescent="0.2"/>
  <cols>
    <col min="1" max="1" width="3.42578125" style="18" customWidth="1"/>
    <col min="2" max="2" width="18" style="292" customWidth="1"/>
    <col min="3" max="3" width="7" style="35" customWidth="1"/>
    <col min="4" max="4" width="7.85546875" style="35" customWidth="1"/>
    <col min="5" max="5" width="12.85546875" style="104" customWidth="1"/>
    <col min="6" max="9" width="13.140625" style="14" customWidth="1"/>
    <col min="10" max="10" width="13.140625" style="56" customWidth="1"/>
    <col min="11" max="14" width="9.140625" customWidth="1"/>
    <col min="15" max="27" width="13.140625" customWidth="1"/>
    <col min="28" max="28" width="12" customWidth="1"/>
  </cols>
  <sheetData>
    <row r="1" spans="1:56" ht="12.6" customHeight="1" x14ac:dyDescent="0.2">
      <c r="A1" s="410" t="s">
        <v>18</v>
      </c>
      <c r="B1" s="411"/>
      <c r="C1" s="741" t="s">
        <v>59</v>
      </c>
      <c r="D1" s="741"/>
      <c r="E1" s="741"/>
      <c r="F1" s="206" t="s">
        <v>38</v>
      </c>
      <c r="G1" s="413"/>
      <c r="H1" s="408">
        <v>0.03</v>
      </c>
      <c r="I1" s="657" t="s">
        <v>182</v>
      </c>
      <c r="J1" s="656">
        <f ca="1">J100</f>
        <v>0</v>
      </c>
      <c r="K1" s="195"/>
      <c r="M1" s="195"/>
      <c r="N1" s="195"/>
      <c r="O1" s="660" t="s">
        <v>9</v>
      </c>
      <c r="P1" s="152"/>
      <c r="Q1" s="168">
        <f>IF(AND($C$1=$AB$1,$C$2=$AG$1),$AC$1,IF(AND($C$1=$AB$1,$C$2=$AH$1),$AD$1,IF(AND($C$1=$AB$2,$C$2=$AG$1),$AC$2,IF(AND($C$1=$AB$2,$C$2=$AH$1),$AD$2,IF(AND($C$1=$AB$3,$C$2=$AG$1),$AC$3,IF(AND($C$1=$AB$3,$C$2=$AH$1),$AD$3,IF($C$1=$AB$4,$AC$4,IF($C$1=$AB$5,$AC$5,IF(AND($C$1=$AB$6,$C$2=$AG$1),$AC$1,IF(AND($C$1=$AB$6,$C$2=$AH$1),$AD$1,"TBD"))))))))))</f>
        <v>0.59499999999999997</v>
      </c>
      <c r="W1" s="660" t="s">
        <v>10</v>
      </c>
      <c r="X1" s="152"/>
      <c r="Y1" s="152"/>
      <c r="Z1" s="168">
        <f>IF(C1="Other Sponsored Activity", 60%, 64%)</f>
        <v>0.64</v>
      </c>
      <c r="AB1" t="s">
        <v>59</v>
      </c>
      <c r="AC1" s="16">
        <v>0.59499999999999997</v>
      </c>
      <c r="AD1" s="16">
        <v>0.26</v>
      </c>
      <c r="AF1" s="17" t="s">
        <v>27</v>
      </c>
      <c r="AG1" s="35" t="s">
        <v>14</v>
      </c>
      <c r="AH1" s="35" t="s">
        <v>15</v>
      </c>
      <c r="AI1" s="35"/>
      <c r="AJ1" s="35" t="s">
        <v>26</v>
      </c>
      <c r="AK1" s="35" t="s">
        <v>116</v>
      </c>
      <c r="AM1" t="s">
        <v>53</v>
      </c>
      <c r="AP1" s="19" t="s">
        <v>85</v>
      </c>
    </row>
    <row r="2" spans="1:56" ht="12.6" customHeight="1" x14ac:dyDescent="0.2">
      <c r="A2" s="412" t="s">
        <v>17</v>
      </c>
      <c r="B2" s="279"/>
      <c r="C2" s="741" t="s">
        <v>14</v>
      </c>
      <c r="D2" s="741"/>
      <c r="E2" s="741"/>
      <c r="F2" s="206" t="s">
        <v>39</v>
      </c>
      <c r="G2" s="413"/>
      <c r="H2" s="408">
        <v>0.04</v>
      </c>
      <c r="I2" s="657" t="s">
        <v>183</v>
      </c>
      <c r="J2" s="656">
        <f ca="1">J103</f>
        <v>0</v>
      </c>
      <c r="O2" s="660" t="s">
        <v>65</v>
      </c>
      <c r="P2" s="150"/>
      <c r="Q2" s="168" t="str">
        <f>IF($C$1=$AB$1,$AF$1,IF($C$1=AB2,$AF$1,IF($C$1=AB3,$AF$1, IF($C$1=AB6,$AF$1,IF($C$1=$AB$4,$AF$2,IF($C$1=$AB$5,$AF$2,$AF$1))))))</f>
        <v>MTDC</v>
      </c>
      <c r="W2" s="660" t="s">
        <v>11</v>
      </c>
      <c r="X2" s="152"/>
      <c r="Y2" s="152"/>
      <c r="Z2" s="168">
        <v>0.40889999999999999</v>
      </c>
      <c r="AB2" t="s">
        <v>60</v>
      </c>
      <c r="AC2" s="16">
        <v>0.433</v>
      </c>
      <c r="AD2" s="16">
        <v>0.26</v>
      </c>
      <c r="AF2" s="17" t="s">
        <v>28</v>
      </c>
      <c r="AG2" s="17"/>
      <c r="AH2" s="17"/>
      <c r="AI2" s="17"/>
      <c r="AK2" s="35" t="s">
        <v>124</v>
      </c>
      <c r="AM2" t="s">
        <v>54</v>
      </c>
      <c r="AP2" s="201" t="s">
        <v>101</v>
      </c>
      <c r="AQ2" s="201" t="s">
        <v>100</v>
      </c>
      <c r="AR2" s="201" t="s">
        <v>118</v>
      </c>
      <c r="AS2" s="201" t="s">
        <v>119</v>
      </c>
      <c r="AT2" s="201" t="s">
        <v>120</v>
      </c>
      <c r="AU2" s="201" t="s">
        <v>121</v>
      </c>
      <c r="AV2" s="201" t="s">
        <v>98</v>
      </c>
      <c r="AW2" s="201" t="s">
        <v>122</v>
      </c>
      <c r="AX2" s="201" t="s">
        <v>123</v>
      </c>
      <c r="AY2" s="201" t="s">
        <v>99</v>
      </c>
      <c r="AZ2" s="201" t="s">
        <v>84</v>
      </c>
      <c r="BA2" s="201" t="s">
        <v>61</v>
      </c>
    </row>
    <row r="3" spans="1:56" ht="12.95" customHeight="1" thickBot="1" x14ac:dyDescent="0.25">
      <c r="A3" s="412" t="s">
        <v>19</v>
      </c>
      <c r="B3" s="279"/>
      <c r="C3" s="741">
        <f>Q1</f>
        <v>0.59499999999999997</v>
      </c>
      <c r="D3" s="741"/>
      <c r="E3" s="741"/>
      <c r="F3" s="206" t="s">
        <v>184</v>
      </c>
      <c r="G3" s="413"/>
      <c r="H3" s="658"/>
      <c r="I3" s="657" t="s">
        <v>181</v>
      </c>
      <c r="J3" s="656">
        <f ca="1">J105</f>
        <v>0</v>
      </c>
      <c r="O3" s="652" t="str">
        <f>IF(OR($K$6="",$K$6=FALSE),"Adding Budget Periods","")</f>
        <v>Adding Budget Periods</v>
      </c>
      <c r="Q3" s="653" t="str">
        <f>IF(OR($K$6="",$K$6=FALSE),"Highlight period(s)/column(s) from rows "&amp;ROW(E5)&amp;" - "&amp;ROW(E132)&amp;" , right-click, click Copy, and paste ('Insert Copied Rows') at row "&amp;ROW(J5)&amp; ", column "&amp;COLUMN(J5),"")</f>
        <v>Highlight period(s)/column(s) from rows 5 - 132 , right-click, click Copy, and paste ('Insert Copied Rows') at row 5, column 10</v>
      </c>
      <c r="W3" s="660" t="s">
        <v>154</v>
      </c>
      <c r="X3" s="152"/>
      <c r="Y3" s="152"/>
      <c r="Z3" s="168">
        <v>8.5500000000000007E-2</v>
      </c>
      <c r="AB3" t="s">
        <v>16</v>
      </c>
      <c r="AC3" s="16">
        <v>0.308</v>
      </c>
      <c r="AD3" s="16">
        <v>0.219</v>
      </c>
      <c r="AF3" s="17" t="s">
        <v>61</v>
      </c>
      <c r="AG3" s="17"/>
      <c r="AH3" s="17"/>
      <c r="AI3" s="17"/>
      <c r="AK3" s="35" t="s">
        <v>125</v>
      </c>
    </row>
    <row r="4" spans="1:56" ht="12" customHeight="1" x14ac:dyDescent="0.2">
      <c r="A4" s="412" t="s">
        <v>35</v>
      </c>
      <c r="B4" s="279"/>
      <c r="C4" s="741" t="str">
        <f>IF(OR($C$3=0,$C$3&lt;&gt;$Q$1),$AF$2,IF($C$1=$AB$5,$AF$2,IF($C$3="TBD","MTDC",$AF$1)))</f>
        <v>MTDC</v>
      </c>
      <c r="D4" s="741"/>
      <c r="E4" s="741"/>
      <c r="F4" s="732" t="s">
        <v>185</v>
      </c>
      <c r="G4" s="733"/>
      <c r="H4" s="733"/>
      <c r="I4" s="733"/>
      <c r="J4" s="734"/>
      <c r="O4" s="652" t="str">
        <f>IF(OR($K$6="",$K$6=FALSE),"Removing Budget Periods","")</f>
        <v>Removing Budget Periods</v>
      </c>
      <c r="Q4" s="653" t="str">
        <f>IF(OR($K$6="",$K$6=FALSE),"Highlight unwanted period(s)/column(s) from rows "&amp;ROW(E5)&amp;" - "&amp;ROW(E132)&amp;" , right-click, and click Delete","")</f>
        <v>Highlight unwanted period(s)/column(s) from rows 5 - 132 , right-click, and click Delete</v>
      </c>
      <c r="W4" s="660" t="s">
        <v>155</v>
      </c>
      <c r="Z4" s="168">
        <v>0.16200000000000001</v>
      </c>
      <c r="AB4" t="s">
        <v>62</v>
      </c>
      <c r="AC4" s="141">
        <v>0</v>
      </c>
      <c r="AD4" s="141"/>
      <c r="AG4" s="17"/>
      <c r="AH4" s="17"/>
      <c r="AI4" s="17"/>
      <c r="AK4" t="s">
        <v>126</v>
      </c>
    </row>
    <row r="5" spans="1:56" ht="12" customHeight="1" x14ac:dyDescent="0.2">
      <c r="A5" s="414" t="s">
        <v>42</v>
      </c>
      <c r="C5" s="742"/>
      <c r="D5" s="742"/>
      <c r="E5" s="742"/>
      <c r="F5" s="735"/>
      <c r="G5" s="736"/>
      <c r="H5" s="736"/>
      <c r="I5" s="736"/>
      <c r="J5" s="737"/>
      <c r="O5" s="652"/>
      <c r="Q5" s="653"/>
      <c r="W5" s="660" t="s">
        <v>44</v>
      </c>
      <c r="X5" s="152"/>
      <c r="Y5" s="152"/>
      <c r="Z5" s="169">
        <v>1E-4</v>
      </c>
      <c r="AB5" t="s">
        <v>63</v>
      </c>
      <c r="AC5" s="141">
        <v>0.26</v>
      </c>
      <c r="AD5" s="141"/>
      <c r="AK5" s="35" t="s">
        <v>127</v>
      </c>
      <c r="AP5" s="35" t="s">
        <v>117</v>
      </c>
      <c r="AQ5" s="35" t="s">
        <v>23</v>
      </c>
      <c r="AR5" s="35" t="s">
        <v>156</v>
      </c>
      <c r="AS5" s="35" t="s">
        <v>157</v>
      </c>
      <c r="AT5" s="35" t="s">
        <v>159</v>
      </c>
      <c r="AU5" s="35" t="s">
        <v>160</v>
      </c>
      <c r="AV5" s="35" t="s">
        <v>128</v>
      </c>
      <c r="AW5" s="35" t="s">
        <v>158</v>
      </c>
    </row>
    <row r="6" spans="1:56" ht="12" customHeight="1" thickBot="1" x14ac:dyDescent="0.25">
      <c r="A6" s="414" t="s">
        <v>180</v>
      </c>
      <c r="C6" s="730"/>
      <c r="D6" s="731"/>
      <c r="E6" s="731"/>
      <c r="F6" s="738"/>
      <c r="G6" s="739"/>
      <c r="H6" s="739"/>
      <c r="I6" s="739"/>
      <c r="J6" s="740"/>
      <c r="K6" s="651"/>
      <c r="L6" s="440" t="s">
        <v>179</v>
      </c>
      <c r="O6" s="652"/>
      <c r="Q6" s="653"/>
      <c r="W6" s="660" t="s">
        <v>41</v>
      </c>
      <c r="X6" s="152"/>
      <c r="Y6" s="152"/>
      <c r="Z6" s="168">
        <v>7.6600000000000001E-2</v>
      </c>
      <c r="AB6" t="s">
        <v>64</v>
      </c>
      <c r="AC6" s="141"/>
      <c r="AD6" s="141"/>
    </row>
    <row r="7" spans="1:56" s="19" customFormat="1" ht="12.95" customHeight="1" thickBot="1" x14ac:dyDescent="0.25">
      <c r="B7" s="281"/>
      <c r="E7" s="282" t="s">
        <v>74</v>
      </c>
      <c r="F7" s="283" t="s">
        <v>75</v>
      </c>
      <c r="G7" s="283" t="s">
        <v>76</v>
      </c>
      <c r="H7" s="283" t="s">
        <v>77</v>
      </c>
      <c r="I7" s="283" t="s">
        <v>78</v>
      </c>
      <c r="J7" s="284" t="s">
        <v>0</v>
      </c>
      <c r="K7" s="405"/>
      <c r="L7"/>
      <c r="M7"/>
      <c r="N7"/>
      <c r="O7"/>
      <c r="P7"/>
      <c r="R7"/>
      <c r="S7"/>
      <c r="T7"/>
      <c r="V7"/>
      <c r="W7"/>
      <c r="X7"/>
      <c r="Y7"/>
      <c r="Z7"/>
      <c r="AA7"/>
      <c r="AG7"/>
      <c r="AH7"/>
      <c r="AI7"/>
      <c r="AJ7"/>
      <c r="AM7"/>
      <c r="AN7"/>
      <c r="AO7"/>
      <c r="AP7"/>
      <c r="AQ7"/>
      <c r="AR7"/>
      <c r="AS7"/>
      <c r="AT7"/>
      <c r="AU7"/>
      <c r="AV7"/>
      <c r="AW7"/>
      <c r="AX7"/>
      <c r="AY7"/>
      <c r="AZ7"/>
      <c r="BA7"/>
      <c r="BB7"/>
      <c r="BC7"/>
      <c r="BD7"/>
    </row>
    <row r="8" spans="1:56" s="19" customFormat="1" ht="4.5" customHeight="1" thickBot="1" x14ac:dyDescent="0.25">
      <c r="A8" s="427"/>
      <c r="B8" s="428"/>
      <c r="C8" s="429"/>
      <c r="D8" s="429"/>
      <c r="E8" s="430"/>
      <c r="F8" s="431"/>
      <c r="G8" s="431"/>
      <c r="H8" s="431"/>
      <c r="I8" s="431"/>
      <c r="J8" s="432"/>
      <c r="K8"/>
      <c r="L8"/>
      <c r="M8"/>
      <c r="N8"/>
      <c r="O8"/>
      <c r="P8"/>
      <c r="Q8"/>
      <c r="R8"/>
      <c r="S8"/>
      <c r="T8"/>
      <c r="V8"/>
      <c r="W8"/>
      <c r="X8"/>
      <c r="Y8"/>
      <c r="Z8"/>
      <c r="AA8"/>
      <c r="AB8"/>
      <c r="AC8"/>
      <c r="AD8"/>
      <c r="AE8"/>
      <c r="AF8"/>
      <c r="AG8"/>
      <c r="AH8"/>
      <c r="AI8"/>
      <c r="AJ8"/>
      <c r="AK8"/>
      <c r="AL8"/>
      <c r="AM8"/>
      <c r="AN8"/>
      <c r="AO8"/>
      <c r="AP8"/>
      <c r="AQ8"/>
      <c r="AR8"/>
      <c r="AS8"/>
      <c r="AT8"/>
      <c r="AU8"/>
      <c r="AV8"/>
      <c r="AW8"/>
      <c r="AX8"/>
      <c r="AY8"/>
      <c r="AZ8"/>
      <c r="BA8"/>
      <c r="BB8"/>
      <c r="BC8"/>
      <c r="BD8"/>
    </row>
    <row r="9" spans="1:56" s="19" customFormat="1" ht="12.95" customHeight="1" x14ac:dyDescent="0.2">
      <c r="A9" s="20" t="s">
        <v>1</v>
      </c>
      <c r="B9" s="426" t="s">
        <v>86</v>
      </c>
      <c r="C9" s="433" t="s">
        <v>54</v>
      </c>
      <c r="D9" s="440" t="s">
        <v>169</v>
      </c>
      <c r="J9" s="208"/>
      <c r="K9" s="405" t="str">
        <f>IF(OR($K$6="",$K$6=FALSE),"To add Senior Personnel, copy rows "&amp;ROW(B13)&amp;"-"&amp;ROW(B15)&amp;" and paste ('Insert Copied Rows') in row "&amp;ROW(B22),"")</f>
        <v>To add Senior Personnel, copy rows 13-15 and paste ('Insert Copied Rows') in row 22</v>
      </c>
      <c r="V9"/>
      <c r="W9"/>
      <c r="X9"/>
      <c r="Y9"/>
      <c r="Z9"/>
      <c r="AA9"/>
      <c r="AB9"/>
      <c r="AC9"/>
      <c r="AD9"/>
      <c r="AE9"/>
      <c r="AF9"/>
      <c r="AG9"/>
      <c r="AH9"/>
      <c r="AI9"/>
      <c r="AJ9"/>
      <c r="AK9"/>
      <c r="AL9"/>
      <c r="AM9"/>
      <c r="AN9"/>
      <c r="AO9"/>
      <c r="AP9"/>
      <c r="AQ9"/>
      <c r="AR9"/>
      <c r="AS9"/>
      <c r="AT9"/>
      <c r="AU9"/>
      <c r="AV9"/>
      <c r="AW9"/>
      <c r="AX9"/>
      <c r="AY9"/>
      <c r="AZ9"/>
      <c r="BA9"/>
      <c r="BB9"/>
      <c r="BC9"/>
      <c r="BD9"/>
    </row>
    <row r="10" spans="1:56" ht="12.95" customHeight="1" x14ac:dyDescent="0.2">
      <c r="A10" s="66"/>
      <c r="B10" s="287" t="s">
        <v>116</v>
      </c>
      <c r="C10" s="633" t="s">
        <v>178</v>
      </c>
      <c r="D10" s="634">
        <v>9</v>
      </c>
      <c r="E10" s="288">
        <v>0</v>
      </c>
      <c r="F10" s="288">
        <f>IF(E10="","",E10)</f>
        <v>0</v>
      </c>
      <c r="G10" s="288">
        <f>IF(F10="","",F10)</f>
        <v>0</v>
      </c>
      <c r="H10" s="288">
        <f>IF(G10="","",G10)</f>
        <v>0</v>
      </c>
      <c r="I10" s="288">
        <f>IF(H10="","",H10)</f>
        <v>0</v>
      </c>
      <c r="J10" s="289" t="str">
        <f ca="1">IF(E10="","                          -","Sum: "&amp;ROUND(SUM(E10:INDIRECT(ADDRESS(ROW(),COLUMN()-1))),2)&amp;" | Avg: "&amp;ROUND(AVERAGE(E10:INDIRECT(ADDRESS(ROW(),COLUMN()-1))),2))</f>
        <v>Sum: 0 | Avg: 0</v>
      </c>
      <c r="K10" s="25"/>
    </row>
    <row r="11" spans="1:56" ht="12.95" customHeight="1" x14ac:dyDescent="0.2">
      <c r="A11" s="66"/>
      <c r="B11" s="290" t="s">
        <v>129</v>
      </c>
      <c r="C11" s="632" t="s">
        <v>176</v>
      </c>
      <c r="D11" s="638" t="str">
        <f>IF(ISNUMBER($B12),$B12/$D10,"")</f>
        <v/>
      </c>
      <c r="E11" s="1">
        <f>IF(AND($D11&lt;&gt;"",E10&lt;&gt;""),ROUND($D11*(1+$H$1)^(IF($C$9=$AM$2,RIGHT(E$7,1)-1,RIGHT(E$7,1)))*E10,0),0)</f>
        <v>0</v>
      </c>
      <c r="F11" s="1">
        <f>IF(AND($D11&lt;&gt;"",F10&lt;&gt;""),ROUND($D11*(1+$H$1)^(IF($C$9=$AM$2,RIGHT(F$7,1)-1,RIGHT(F$7,1)))*F10,0),0)</f>
        <v>0</v>
      </c>
      <c r="G11" s="1">
        <f>IF(AND($D11&lt;&gt;"",G10&lt;&gt;""),ROUND($D11*(1+$H$1)^(IF($C$9=$AM$2,RIGHT(G$7,1)-1,RIGHT(G$7,1)))*G10,0),0)</f>
        <v>0</v>
      </c>
      <c r="H11" s="1">
        <f>IF(AND($D11&lt;&gt;"",H10&lt;&gt;""),ROUND($D11*(1+$H$1)^(IF($C$9=$AM$2,RIGHT(H$7,1)-1,RIGHT(H$7,1)))*H10,0),0)</f>
        <v>0</v>
      </c>
      <c r="I11" s="1">
        <f>IF(AND($D11&lt;&gt;"",I10&lt;&gt;""),ROUND($D11*(1+$H$1)^(IF($C$9=$AM$2,RIGHT(I$7,1)-1,RIGHT(I$7,1)))*I10,0),0)</f>
        <v>0</v>
      </c>
      <c r="J11" s="650">
        <f ca="1">SUM(E11:INDIRECT(ADDRESS(ROW(),COLUMN()-1)))</f>
        <v>0</v>
      </c>
      <c r="K11" s="25"/>
    </row>
    <row r="12" spans="1:56" ht="12.95" customHeight="1" x14ac:dyDescent="0.2">
      <c r="A12" s="66"/>
      <c r="B12" s="291" t="s">
        <v>130</v>
      </c>
      <c r="C12" s="632" t="s">
        <v>177</v>
      </c>
      <c r="D12" s="635">
        <f>$Z$2</f>
        <v>0.40889999999999999</v>
      </c>
      <c r="E12" s="171">
        <f>ROUND(E11*$D12,0)</f>
        <v>0</v>
      </c>
      <c r="F12" s="171">
        <f>ROUND(F11*$D12,0)</f>
        <v>0</v>
      </c>
      <c r="G12" s="171">
        <f>ROUND(G11*$D12,0)</f>
        <v>0</v>
      </c>
      <c r="H12" s="171">
        <f>ROUND(H11*$D12,0)</f>
        <v>0</v>
      </c>
      <c r="I12" s="171">
        <f>ROUND(I11*$D12,0)</f>
        <v>0</v>
      </c>
      <c r="J12" s="172">
        <f ca="1">SUM(E12:INDIRECT(ADDRESS(ROW(),COLUMN()-1)))</f>
        <v>0</v>
      </c>
      <c r="K12" s="405"/>
    </row>
    <row r="13" spans="1:56" ht="12.95" customHeight="1" x14ac:dyDescent="0.2">
      <c r="A13" s="66"/>
      <c r="B13" s="287" t="s">
        <v>125</v>
      </c>
      <c r="C13" s="633" t="s">
        <v>178</v>
      </c>
      <c r="D13" s="634">
        <v>9</v>
      </c>
      <c r="E13" s="288"/>
      <c r="F13" s="288" t="str">
        <f>IF(E13="","",E13)</f>
        <v/>
      </c>
      <c r="G13" s="288" t="str">
        <f>IF(F13="","",F13)</f>
        <v/>
      </c>
      <c r="H13" s="288" t="str">
        <f>IF(G13="","",G13)</f>
        <v/>
      </c>
      <c r="I13" s="288" t="str">
        <f>IF(H13="","",H13)</f>
        <v/>
      </c>
      <c r="J13" s="289" t="str">
        <f ca="1">IF(E13="","                          -","Sum: "&amp;ROUND(SUM(E13:INDIRECT(ADDRESS(ROW(),COLUMN()-1))),2)&amp;" | Avg: "&amp;ROUND(AVERAGE(E13:INDIRECT(ADDRESS(ROW(),COLUMN()-1))),2))</f>
        <v xml:space="preserve">                          -</v>
      </c>
      <c r="K13" s="25"/>
    </row>
    <row r="14" spans="1:56" ht="12.95" customHeight="1" x14ac:dyDescent="0.2">
      <c r="A14" s="66"/>
      <c r="B14" s="290" t="s">
        <v>129</v>
      </c>
      <c r="C14" s="632" t="s">
        <v>176</v>
      </c>
      <c r="D14" s="638" t="str">
        <f>IF(ISNUMBER($B15),$B15/$D13,"")</f>
        <v/>
      </c>
      <c r="E14" s="1">
        <f>IF(AND($D14&lt;&gt;"",E13&lt;&gt;""),ROUND($D14*(1+$H$1)^(IF($C$9=$AM$2,RIGHT(E$7,1)-1,RIGHT(E$7,1)))*E13,0),0)</f>
        <v>0</v>
      </c>
      <c r="F14" s="1">
        <f>IF(AND($D14&lt;&gt;"",F13&lt;&gt;""),ROUND($D14*(1+$H$1)^(IF($C$9=$AM$2,RIGHT(F$7,1)-1,RIGHT(F$7,1)))*F13,0),0)</f>
        <v>0</v>
      </c>
      <c r="G14" s="1">
        <f>IF(AND($D14&lt;&gt;"",G13&lt;&gt;""),ROUND($D14*(1+$H$1)^(IF($C$9=$AM$2,RIGHT(G$7,1)-1,RIGHT(G$7,1)))*G13,0),0)</f>
        <v>0</v>
      </c>
      <c r="H14" s="1">
        <f>IF(AND($D14&lt;&gt;"",H13&lt;&gt;""),ROUND($D14*(1+$H$1)^(IF($C$9=$AM$2,RIGHT(H$7,1)-1,RIGHT(H$7,1)))*H13,0),0)</f>
        <v>0</v>
      </c>
      <c r="I14" s="1">
        <f>IF(AND($D14&lt;&gt;"",I13&lt;&gt;""),ROUND($D14*(1+$H$1)^(IF($C$9=$AM$2,RIGHT(I$7,1)-1,RIGHT(I$7,1)))*I13,0),0)</f>
        <v>0</v>
      </c>
      <c r="J14" s="650">
        <f ca="1">SUM(E14:INDIRECT(ADDRESS(ROW(),COLUMN()-1)))</f>
        <v>0</v>
      </c>
      <c r="K14" s="25"/>
    </row>
    <row r="15" spans="1:56" ht="12.95" customHeight="1" x14ac:dyDescent="0.2">
      <c r="A15" s="66"/>
      <c r="B15" s="291" t="s">
        <v>130</v>
      </c>
      <c r="C15" s="632" t="s">
        <v>177</v>
      </c>
      <c r="D15" s="635">
        <f>$Z$2</f>
        <v>0.40889999999999999</v>
      </c>
      <c r="E15" s="171">
        <f>ROUND(E14*$D15,0)</f>
        <v>0</v>
      </c>
      <c r="F15" s="171">
        <f>ROUND(F14*$D15,0)</f>
        <v>0</v>
      </c>
      <c r="G15" s="171">
        <f>ROUND(G14*$D15,0)</f>
        <v>0</v>
      </c>
      <c r="H15" s="171">
        <f>ROUND(H14*$D15,0)</f>
        <v>0</v>
      </c>
      <c r="I15" s="171">
        <f>ROUND(I14*$D15,0)</f>
        <v>0</v>
      </c>
      <c r="J15" s="172">
        <f ca="1">SUM(E15:INDIRECT(ADDRESS(ROW(),COLUMN()-1)))</f>
        <v>0</v>
      </c>
      <c r="K15" s="25"/>
    </row>
    <row r="16" spans="1:56" ht="12.95" customHeight="1" x14ac:dyDescent="0.2">
      <c r="A16" s="66"/>
      <c r="B16" s="287" t="s">
        <v>125</v>
      </c>
      <c r="C16" s="633" t="s">
        <v>178</v>
      </c>
      <c r="D16" s="634">
        <v>9</v>
      </c>
      <c r="E16" s="288"/>
      <c r="F16" s="288" t="str">
        <f>IF(E16="","",E16)</f>
        <v/>
      </c>
      <c r="G16" s="288" t="str">
        <f>IF(F16="","",F16)</f>
        <v/>
      </c>
      <c r="H16" s="288" t="str">
        <f>IF(G16="","",G16)</f>
        <v/>
      </c>
      <c r="I16" s="288" t="str">
        <f>IF(H16="","",H16)</f>
        <v/>
      </c>
      <c r="J16" s="289" t="str">
        <f ca="1">IF(E16="","                          -","Sum: "&amp;ROUND(SUM(E16:INDIRECT(ADDRESS(ROW(),COLUMN()-1))),2)&amp;" | Avg: "&amp;ROUND(AVERAGE(E16:INDIRECT(ADDRESS(ROW(),COLUMN()-1))),2))</f>
        <v xml:space="preserve">                          -</v>
      </c>
      <c r="K16" s="25"/>
    </row>
    <row r="17" spans="1:56" ht="12.95" customHeight="1" x14ac:dyDescent="0.2">
      <c r="A17" s="66"/>
      <c r="B17" s="290" t="s">
        <v>129</v>
      </c>
      <c r="C17" s="632" t="s">
        <v>176</v>
      </c>
      <c r="D17" s="638" t="str">
        <f>IF(ISNUMBER($B18),$B18/$D16,"")</f>
        <v/>
      </c>
      <c r="E17" s="1">
        <f>IF(AND($D17&lt;&gt;"",E16&lt;&gt;""),ROUND($D17*(1+$H$1)^(IF($C$9=$AM$2,RIGHT(E$7,1)-1,RIGHT(E$7,1)))*E16,0),0)</f>
        <v>0</v>
      </c>
      <c r="F17" s="1">
        <f>IF(AND($D17&lt;&gt;"",F16&lt;&gt;""),ROUND($D17*(1+$H$1)^(IF($C$9=$AM$2,RIGHT(F$7,1)-1,RIGHT(F$7,1)))*F16,0),0)</f>
        <v>0</v>
      </c>
      <c r="G17" s="1">
        <f>IF(AND($D17&lt;&gt;"",G16&lt;&gt;""),ROUND($D17*(1+$H$1)^(IF($C$9=$AM$2,RIGHT(G$7,1)-1,RIGHT(G$7,1)))*G16,0),0)</f>
        <v>0</v>
      </c>
      <c r="H17" s="1">
        <f>IF(AND($D17&lt;&gt;"",H16&lt;&gt;""),ROUND($D17*(1+$H$1)^(IF($C$9=$AM$2,RIGHT(H$7,1)-1,RIGHT(H$7,1)))*H16,0),0)</f>
        <v>0</v>
      </c>
      <c r="I17" s="1">
        <f>IF(AND($D17&lt;&gt;"",I16&lt;&gt;""),ROUND($D17*(1+$H$1)^(IF($C$9=$AM$2,RIGHT(I$7,1)-1,RIGHT(I$7,1)))*I16,0),0)</f>
        <v>0</v>
      </c>
      <c r="J17" s="650">
        <f ca="1">SUM(E17:INDIRECT(ADDRESS(ROW(),COLUMN()-1)))</f>
        <v>0</v>
      </c>
      <c r="K17" s="25"/>
    </row>
    <row r="18" spans="1:56" ht="12.95" customHeight="1" x14ac:dyDescent="0.2">
      <c r="A18" s="66"/>
      <c r="B18" s="291" t="s">
        <v>130</v>
      </c>
      <c r="C18" s="632" t="s">
        <v>177</v>
      </c>
      <c r="D18" s="635">
        <f>$Z$2</f>
        <v>0.40889999999999999</v>
      </c>
      <c r="E18" s="171">
        <f>ROUND(E17*$D18,0)</f>
        <v>0</v>
      </c>
      <c r="F18" s="171">
        <f>ROUND(F17*$D18,0)</f>
        <v>0</v>
      </c>
      <c r="G18" s="171">
        <f>ROUND(G17*$D18,0)</f>
        <v>0</v>
      </c>
      <c r="H18" s="171">
        <f>ROUND(H17*$D18,0)</f>
        <v>0</v>
      </c>
      <c r="I18" s="171">
        <f>ROUND(I17*$D18,0)</f>
        <v>0</v>
      </c>
      <c r="J18" s="172">
        <f ca="1">SUM(E18:INDIRECT(ADDRESS(ROW(),COLUMN()-1)))</f>
        <v>0</v>
      </c>
      <c r="K18" s="25"/>
    </row>
    <row r="19" spans="1:56" ht="12.95" customHeight="1" x14ac:dyDescent="0.2">
      <c r="A19" s="66"/>
      <c r="B19" s="287" t="s">
        <v>125</v>
      </c>
      <c r="C19" s="633" t="s">
        <v>178</v>
      </c>
      <c r="D19" s="634">
        <v>9</v>
      </c>
      <c r="E19" s="288"/>
      <c r="F19" s="288" t="str">
        <f>IF(E19="","",E19)</f>
        <v/>
      </c>
      <c r="G19" s="288" t="str">
        <f>IF(F19="","",F19)</f>
        <v/>
      </c>
      <c r="H19" s="288" t="str">
        <f>IF(G19="","",G19)</f>
        <v/>
      </c>
      <c r="I19" s="288" t="str">
        <f>IF(H19="","",H19)</f>
        <v/>
      </c>
      <c r="J19" s="289" t="str">
        <f ca="1">IF(E19="","                          -","Sum: "&amp;ROUND(SUM(E19:INDIRECT(ADDRESS(ROW(),COLUMN()-1))),2)&amp;" | Avg: "&amp;ROUND(AVERAGE(E19:INDIRECT(ADDRESS(ROW(),COLUMN()-1))),2))</f>
        <v xml:space="preserve">                          -</v>
      </c>
      <c r="K19" s="25"/>
    </row>
    <row r="20" spans="1:56" ht="12.95" customHeight="1" x14ac:dyDescent="0.2">
      <c r="A20" s="66"/>
      <c r="B20" s="290" t="s">
        <v>129</v>
      </c>
      <c r="C20" s="632" t="s">
        <v>176</v>
      </c>
      <c r="D20" s="638" t="str">
        <f>IF(ISNUMBER($B21),$B21/$D19,"")</f>
        <v/>
      </c>
      <c r="E20" s="1">
        <f>IF(AND($D20&lt;&gt;"",E19&lt;&gt;""),ROUND($D20*(1+$H$1)^(IF($C$9=$AM$2,RIGHT(E$7,1)-1,RIGHT(E$7,1)))*E19,0),0)</f>
        <v>0</v>
      </c>
      <c r="F20" s="1">
        <f>IF(AND($D20&lt;&gt;"",F19&lt;&gt;""),ROUND($D20*(1+$H$1)^(IF($C$9=$AM$2,RIGHT(F$7,1)-1,RIGHT(F$7,1)))*F19,0),0)</f>
        <v>0</v>
      </c>
      <c r="G20" s="1">
        <f>IF(AND($D20&lt;&gt;"",G19&lt;&gt;""),ROUND($D20*(1+$H$1)^(IF($C$9=$AM$2,RIGHT(G$7,1)-1,RIGHT(G$7,1)))*G19,0),0)</f>
        <v>0</v>
      </c>
      <c r="H20" s="1">
        <f>IF(AND($D20&lt;&gt;"",H19&lt;&gt;""),ROUND($D20*(1+$H$1)^(IF($C$9=$AM$2,RIGHT(H$7,1)-1,RIGHT(H$7,1)))*H19,0),0)</f>
        <v>0</v>
      </c>
      <c r="I20" s="1">
        <f>IF(AND($D20&lt;&gt;"",I19&lt;&gt;""),ROUND($D20*(1+$H$1)^(IF($C$9=$AM$2,RIGHT(I$7,1)-1,RIGHT(I$7,1)))*I19,0),0)</f>
        <v>0</v>
      </c>
      <c r="J20" s="650">
        <f ca="1">SUM(E20:INDIRECT(ADDRESS(ROW(),COLUMN()-1)))</f>
        <v>0</v>
      </c>
      <c r="K20" s="25"/>
    </row>
    <row r="21" spans="1:56" ht="12.95" customHeight="1" x14ac:dyDescent="0.2">
      <c r="A21" s="66"/>
      <c r="B21" s="291" t="s">
        <v>130</v>
      </c>
      <c r="C21" s="632" t="s">
        <v>177</v>
      </c>
      <c r="D21" s="635">
        <f>$Z$2</f>
        <v>0.40889999999999999</v>
      </c>
      <c r="E21" s="171">
        <f>ROUND(E20*$D21,0)</f>
        <v>0</v>
      </c>
      <c r="F21" s="171">
        <f>ROUND(F20*$D21,0)</f>
        <v>0</v>
      </c>
      <c r="G21" s="171">
        <f>ROUND(G20*$D21,0)</f>
        <v>0</v>
      </c>
      <c r="H21" s="171">
        <f>ROUND(H20*$D21,0)</f>
        <v>0</v>
      </c>
      <c r="I21" s="171">
        <f>ROUND(I20*$D21,0)</f>
        <v>0</v>
      </c>
      <c r="J21" s="172">
        <f ca="1">SUM(E21:INDIRECT(ADDRESS(ROW(),COLUMN()-1)))</f>
        <v>0</v>
      </c>
      <c r="K21" s="25"/>
    </row>
    <row r="22" spans="1:56" ht="9" customHeight="1" x14ac:dyDescent="0.2">
      <c r="A22" s="20"/>
      <c r="C22" s="23"/>
      <c r="D22" s="112"/>
      <c r="E22" s="13"/>
      <c r="F22" s="13"/>
      <c r="G22" s="13"/>
      <c r="H22" s="13"/>
      <c r="I22" s="13"/>
      <c r="J22" s="24"/>
      <c r="K22" s="25"/>
    </row>
    <row r="23" spans="1:56" ht="12.95" customHeight="1" x14ac:dyDescent="0.2">
      <c r="A23" s="293"/>
      <c r="B23" s="294" t="s">
        <v>131</v>
      </c>
      <c r="C23" s="295" t="s">
        <v>20</v>
      </c>
      <c r="D23" s="296"/>
      <c r="E23" s="297">
        <f>SUMIF($C$11:$C$22,"Mo. Salary",E$11:E$22)+SUMIF($C$11:$C$22,"Wage",E$11:E$22)</f>
        <v>0</v>
      </c>
      <c r="F23" s="297">
        <f>SUMIF($C$11:$C$22,"Mo. Salary",F$11:F$22)+SUMIF($C$11:$C$22,"Wage",F$11:F$22)</f>
        <v>0</v>
      </c>
      <c r="G23" s="297">
        <f>SUMIF($C$11:$C$22,"Mo. Salary",G$11:G$22)+SUMIF($C$11:$C$22,"Wage",G$11:G$22)</f>
        <v>0</v>
      </c>
      <c r="H23" s="297">
        <f>SUMIF($C$11:$C$22,"Mo. Salary",H$11:H$22)+SUMIF($C$11:$C$22,"Wage",H$11:H$22)</f>
        <v>0</v>
      </c>
      <c r="I23" s="297">
        <f>SUMIF($C$11:$C$22,"Mo. Salary",I$11:I$22)+SUMIF($C$11:$C$22,"Wage",I$11:I$22)</f>
        <v>0</v>
      </c>
      <c r="J23" s="298">
        <f ca="1">SUM(E23:INDIRECT(ADDRESS(ROW(),COLUMN()-1)))</f>
        <v>0</v>
      </c>
      <c r="K23" s="25"/>
    </row>
    <row r="24" spans="1:56" s="35" customFormat="1" ht="12.95" customHeight="1" x14ac:dyDescent="0.2">
      <c r="A24" s="299"/>
      <c r="B24" s="300"/>
      <c r="C24" s="295" t="s">
        <v>21</v>
      </c>
      <c r="D24" s="301"/>
      <c r="E24" s="171">
        <f>SUMIF($C$11:$C$22,"Fringe Rate",E$11:E$22)</f>
        <v>0</v>
      </c>
      <c r="F24" s="171">
        <f>SUMIF($C$11:$C$22,"Fringe Rate",F$11:F$22)</f>
        <v>0</v>
      </c>
      <c r="G24" s="171">
        <f>SUMIF($C$11:$C$22,"Fringe Rate",G$11:G$22)</f>
        <v>0</v>
      </c>
      <c r="H24" s="171">
        <f>SUMIF($C$11:$C$22,"Fringe Rate",H$11:H$22)</f>
        <v>0</v>
      </c>
      <c r="I24" s="171">
        <f>SUMIF($C$11:$C$22,"Fringe Rate",I$11:I$22)</f>
        <v>0</v>
      </c>
      <c r="J24" s="172">
        <f ca="1">SUM(E24:INDIRECT(ADDRESS(ROW(),COLUMN()-1)))</f>
        <v>0</v>
      </c>
      <c r="K24" s="167"/>
      <c r="U24"/>
      <c r="V24"/>
      <c r="W24"/>
      <c r="X24"/>
      <c r="Y24"/>
      <c r="Z24"/>
      <c r="AA24"/>
      <c r="BB24"/>
      <c r="BC24"/>
      <c r="BD24"/>
    </row>
    <row r="25" spans="1:56" s="35" customFormat="1" ht="12.95" customHeight="1" thickBot="1" x14ac:dyDescent="0.25">
      <c r="A25" s="302"/>
      <c r="B25" s="303"/>
      <c r="C25" s="304" t="s">
        <v>0</v>
      </c>
      <c r="D25" s="305"/>
      <c r="E25" s="306">
        <f>SUM(E23:E24)</f>
        <v>0</v>
      </c>
      <c r="F25" s="306">
        <f>SUM(F23:F24)</f>
        <v>0</v>
      </c>
      <c r="G25" s="306">
        <f>SUM(G23:G24)</f>
        <v>0</v>
      </c>
      <c r="H25" s="306">
        <f>SUM(H23:H24)</f>
        <v>0</v>
      </c>
      <c r="I25" s="306">
        <f>SUM(I23:I24)</f>
        <v>0</v>
      </c>
      <c r="J25" s="307">
        <f ca="1">SUM(E25:INDIRECT(ADDRESS(ROW(),COLUMN()-1)))</f>
        <v>0</v>
      </c>
      <c r="K25" s="167"/>
      <c r="U25"/>
      <c r="V25"/>
      <c r="W25"/>
      <c r="X25"/>
      <c r="Y25"/>
      <c r="Z25"/>
      <c r="AA25"/>
      <c r="BB25"/>
      <c r="BC25"/>
      <c r="BD25"/>
    </row>
    <row r="26" spans="1:56" s="35" customFormat="1" ht="4.5" customHeight="1" thickBot="1" x14ac:dyDescent="0.25">
      <c r="A26" s="434"/>
      <c r="B26" s="435"/>
      <c r="C26" s="436"/>
      <c r="D26" s="437"/>
      <c r="E26" s="438"/>
      <c r="F26" s="438"/>
      <c r="G26" s="438"/>
      <c r="H26" s="438"/>
      <c r="I26" s="438"/>
      <c r="J26" s="439"/>
      <c r="K26" s="167"/>
      <c r="U26"/>
      <c r="V26"/>
      <c r="W26"/>
      <c r="X26"/>
      <c r="Y26"/>
      <c r="Z26"/>
      <c r="AA26"/>
      <c r="AB26"/>
      <c r="AC26" s="16"/>
      <c r="AD26" s="16"/>
      <c r="AE26"/>
      <c r="AF26"/>
      <c r="AG26"/>
      <c r="AH26"/>
      <c r="AI26"/>
      <c r="AJ26"/>
      <c r="AK26"/>
      <c r="AL26"/>
      <c r="AM26"/>
      <c r="AN26"/>
      <c r="AO26"/>
      <c r="AP26"/>
      <c r="AQ26"/>
      <c r="AR26"/>
      <c r="AS26"/>
      <c r="AT26"/>
      <c r="AU26"/>
      <c r="AV26"/>
      <c r="AW26"/>
      <c r="AX26"/>
      <c r="AY26"/>
      <c r="AZ26"/>
      <c r="BA26"/>
      <c r="BB26"/>
      <c r="BC26"/>
      <c r="BD26"/>
    </row>
    <row r="27" spans="1:56" ht="12.95" customHeight="1" x14ac:dyDescent="0.2">
      <c r="A27" s="20" t="s">
        <v>2</v>
      </c>
      <c r="B27" s="426" t="s">
        <v>87</v>
      </c>
      <c r="C27" s="433" t="s">
        <v>54</v>
      </c>
      <c r="D27" s="440" t="s">
        <v>169</v>
      </c>
      <c r="E27" s="13"/>
      <c r="F27" s="13"/>
      <c r="G27" s="13"/>
      <c r="H27" s="13"/>
      <c r="I27" s="13"/>
      <c r="J27" s="24"/>
      <c r="K27" s="405" t="str">
        <f>IF(OR($K$6="",$K$6=FALSE),"To add Other Personnel, copy rows "&amp;ROW(B31)&amp;"-"&amp;ROW(B33)&amp;" and paste ('Insert Copied Rows') in row "&amp;ROW(B43),"")</f>
        <v>To add Other Personnel, copy rows 31-33 and paste ('Insert Copied Rows') in row 43</v>
      </c>
    </row>
    <row r="28" spans="1:56" ht="12.95" customHeight="1" x14ac:dyDescent="0.2">
      <c r="A28" s="311"/>
      <c r="B28" s="287" t="s">
        <v>117</v>
      </c>
      <c r="C28" s="633" t="s">
        <v>178</v>
      </c>
      <c r="D28" s="634">
        <f>IF(OR($B28=$AR$5,$B28=$AS$5,$B28=$AT$5,$B28=$AU$5),"",12)</f>
        <v>12</v>
      </c>
      <c r="E28" s="288"/>
      <c r="F28" s="288" t="str">
        <f>IF(E28="","",E28)</f>
        <v/>
      </c>
      <c r="G28" s="288" t="str">
        <f>IF(F28="","",F28)</f>
        <v/>
      </c>
      <c r="H28" s="288" t="str">
        <f>IF(G28="","",G28)</f>
        <v/>
      </c>
      <c r="I28" s="288" t="str">
        <f>IF(H28="","",H28)</f>
        <v/>
      </c>
      <c r="J28" s="289" t="str">
        <f ca="1">IF(E28="","                          -","Sum: "&amp;ROUND(SUM(E28:INDIRECT(ADDRESS(ROW(),COLUMN()-1))),2)&amp;" | Avg: "&amp;ROUND(AVERAGE(E28:INDIRECT(ADDRESS(ROW(),COLUMN()-1))),2))</f>
        <v xml:space="preserve">                          -</v>
      </c>
      <c r="K28" s="654" t="str">
        <f>IF(OR($B28=$AT$5,$B28=$AU$5,$B28=$AW$5,$K29="No"),"Escalate?","")</f>
        <v/>
      </c>
    </row>
    <row r="29" spans="1:56" ht="12.95" customHeight="1" x14ac:dyDescent="0.2">
      <c r="A29" s="311"/>
      <c r="B29" s="291" t="str">
        <f>IF(B28=$AR$5,"Department &amp; Level",IF(B28=$AS$5,"Department &amp; Level","Name or TBN"))</f>
        <v>Name or TBN</v>
      </c>
      <c r="C29" s="632" t="str">
        <f>IF(OR($B28=$AT$5,$B28=$AU$5),"Hrly Rate","Mo. Salary")</f>
        <v>Mo. Salary</v>
      </c>
      <c r="D29" s="637" t="str">
        <f>IF(AND(ISNUMBER($B30),ISNUMBER($D28)),$B30/$D28,"")</f>
        <v/>
      </c>
      <c r="E29" s="1">
        <f>IF(AND($D29&lt;&gt;"",E28&lt;&gt;"",$K29="Yes"),ROUND($D29*(1+$H$1)^(IF($C$27=$AM$2,RIGHT(E$7,1)-1,RIGHT(E$7,1)))*E28,0),IF(AND($D29&lt;&gt;"",E28&lt;&gt;"",$K29="No"),ROUND($D29*(1+$H$1)^0*E28,0),0))</f>
        <v>0</v>
      </c>
      <c r="F29" s="1">
        <f>IF(AND($D29&lt;&gt;"",F28&lt;&gt;"",$K29="Yes"),ROUND($D29*(1+$H$1)^(IF($C$27=$AM$2,RIGHT(F$7,1)-1,RIGHT(F$7,1)))*F28,0),IF(AND($D29&lt;&gt;"",F28&lt;&gt;"",$K29="No"),ROUND($D29*(1+$H$1)^0*F28,0),0))</f>
        <v>0</v>
      </c>
      <c r="G29" s="1">
        <f>IF(AND($D29&lt;&gt;"",G28&lt;&gt;"",$K29="Yes"),ROUND($D29*(1+$H$1)^(IF($C$27=$AM$2,RIGHT(G$7,1)-1,RIGHT(G$7,1)))*G28,0),IF(AND($D29&lt;&gt;"",G28&lt;&gt;"",$K29="No"),ROUND($D29*(1+$H$1)^0*G28,0),0))</f>
        <v>0</v>
      </c>
      <c r="H29" s="1">
        <f>IF(AND($D29&lt;&gt;"",H28&lt;&gt;"",$K29="Yes"),ROUND($D29*(1+$H$1)^(IF($C$27=$AM$2,RIGHT(H$7,1)-1,RIGHT(H$7,1)))*H28,0),IF(AND($D29&lt;&gt;"",H28&lt;&gt;"",$K29="No"),ROUND($D29*(1+$H$1)^0*H28,0),0))</f>
        <v>0</v>
      </c>
      <c r="I29" s="1">
        <f>IF(AND($D29&lt;&gt;"",I28&lt;&gt;"",$K29="Yes"),ROUND($D29*(1+$H$1)^(IF($C$27=$AM$2,RIGHT(I$7,1)-1,RIGHT(I$7,1)))*I28,0),IF(AND($D29&lt;&gt;"",I28&lt;&gt;"",$K29="No"),ROUND($D29*(1+$H$1)^0*I28,0),0))</f>
        <v>0</v>
      </c>
      <c r="J29" s="650">
        <f ca="1">SUM(E29:INDIRECT(ADDRESS(ROW(),COLUMN()-1)))</f>
        <v>0</v>
      </c>
      <c r="K29" s="655" t="str">
        <f>IF(OR($B28=$AT$5,$B28=$AU$5),"No","Yes")</f>
        <v>Yes</v>
      </c>
    </row>
    <row r="30" spans="1:56" ht="12.75" customHeight="1" x14ac:dyDescent="0.2">
      <c r="A30" s="311"/>
      <c r="B30" s="291" t="s">
        <v>130</v>
      </c>
      <c r="C30" s="632" t="s">
        <v>177</v>
      </c>
      <c r="D30" s="636">
        <f>IF(B28=$AP$5,$Z$2,IF(B28=$AQ$5,$Z$2,IF(B28=$AR$5,$Z$3,IF(B28=$AS$5,$Z$4,IF(B28=$AT$5,$Z$5,IF(B28=$AU$5,$Z$6,IF(B28=$AV$5,$Z$2,IF(B28=$AW$5,$Z$6,$Z$2))))))))</f>
        <v>0.40889999999999999</v>
      </c>
      <c r="E30" s="171">
        <f>ROUND(E29*$D30,0)</f>
        <v>0</v>
      </c>
      <c r="F30" s="171">
        <f>ROUND(F29*$D30,0)</f>
        <v>0</v>
      </c>
      <c r="G30" s="171">
        <f>ROUND(G29*$D30,0)</f>
        <v>0</v>
      </c>
      <c r="H30" s="171">
        <f>ROUND(H29*$D30,0)</f>
        <v>0</v>
      </c>
      <c r="I30" s="171">
        <f>ROUND(I29*$D30,0)</f>
        <v>0</v>
      </c>
      <c r="J30" s="172">
        <f ca="1">SUM(E30:INDIRECT(ADDRESS(ROW(),COLUMN()-1)))</f>
        <v>0</v>
      </c>
      <c r="P30" s="421"/>
    </row>
    <row r="31" spans="1:56" ht="12.95" customHeight="1" x14ac:dyDescent="0.2">
      <c r="A31" s="311"/>
      <c r="B31" s="287" t="s">
        <v>156</v>
      </c>
      <c r="C31" s="633" t="s">
        <v>178</v>
      </c>
      <c r="D31" s="634" t="str">
        <f>IF(OR($B31=$AR$5,$B31=$AS$5,$B31=$AT$5,$B31=$AU$5),"",12)</f>
        <v/>
      </c>
      <c r="E31" s="288"/>
      <c r="F31" s="288" t="str">
        <f>IF(E31="","",E31)</f>
        <v/>
      </c>
      <c r="G31" s="288" t="str">
        <f>IF(F31="","",F31)</f>
        <v/>
      </c>
      <c r="H31" s="288" t="str">
        <f>IF(G31="","",G31)</f>
        <v/>
      </c>
      <c r="I31" s="288" t="str">
        <f>IF(H31="","",H31)</f>
        <v/>
      </c>
      <c r="J31" s="289" t="str">
        <f ca="1">IF(E31="","                          -","Sum: "&amp;ROUND(SUM(E31:INDIRECT(ADDRESS(ROW(),COLUMN()-1))),2)&amp;" | Avg: "&amp;ROUND(AVERAGE(E31:INDIRECT(ADDRESS(ROW(),COLUMN()-1))),2))</f>
        <v xml:space="preserve">                          -</v>
      </c>
      <c r="K31" s="654" t="str">
        <f>IF(OR($B31=$AT$5,$B31=$AU$5,$B31=$AW$5,$K32="No"),"Escalate?","")</f>
        <v/>
      </c>
    </row>
    <row r="32" spans="1:56" ht="12.95" customHeight="1" x14ac:dyDescent="0.2">
      <c r="A32" s="311"/>
      <c r="B32" s="291" t="str">
        <f>IF(B31=$AR$5,"Department &amp; Level",IF(B31=$AS$5,"Department &amp; Level","Name or TBN"))</f>
        <v>Department &amp; Level</v>
      </c>
      <c r="C32" s="632" t="str">
        <f>IF(OR($B31=$AT$5,$B31=$AU$5),"Hrly Rate","Mo. Salary")</f>
        <v>Mo. Salary</v>
      </c>
      <c r="D32" s="637" t="str">
        <f>IF(AND(ISNUMBER($B33),ISNUMBER($D31)),$B33/$D31,"")</f>
        <v/>
      </c>
      <c r="E32" s="1">
        <f>IF(AND($D32&lt;&gt;"",E31&lt;&gt;"",$K32="Yes"),ROUND($D32*(1+$H$1)^(IF($C$27=$AM$2,RIGHT(E$7,1)-1,RIGHT(E$7,1)))*E31,0),IF(AND($D32&lt;&gt;"",E31&lt;&gt;"",$K32="No"),ROUND($D32*(1+$H$1)^0*E31,0),0))</f>
        <v>0</v>
      </c>
      <c r="F32" s="1">
        <f>IF(AND($D32&lt;&gt;"",F31&lt;&gt;"",$K32="Yes"),ROUND($D32*(1+$H$1)^(IF($C$27=$AM$2,RIGHT(F$7,1)-1,RIGHT(F$7,1)))*F31,0),IF(AND($D32&lt;&gt;"",F31&lt;&gt;"",$K32="No"),ROUND($D32*(1+$H$1)^0*F31,0),0))</f>
        <v>0</v>
      </c>
      <c r="G32" s="1">
        <f>IF(AND($D32&lt;&gt;"",G31&lt;&gt;"",$K32="Yes"),ROUND($D32*(1+$H$1)^(IF($C$27=$AM$2,RIGHT(G$7,1)-1,RIGHT(G$7,1)))*G31,0),IF(AND($D32&lt;&gt;"",G31&lt;&gt;"",$K32="No"),ROUND($D32*(1+$H$1)^0*G31,0),0))</f>
        <v>0</v>
      </c>
      <c r="H32" s="1">
        <f>IF(AND($D32&lt;&gt;"",H31&lt;&gt;"",$K32="Yes"),ROUND($D32*(1+$H$1)^(IF($C$27=$AM$2,RIGHT(H$7,1)-1,RIGHT(H$7,1)))*H31,0),IF(AND($D32&lt;&gt;"",H31&lt;&gt;"",$K32="No"),ROUND($D32*(1+$H$1)^0*H31,0),0))</f>
        <v>0</v>
      </c>
      <c r="I32" s="1">
        <f>IF(AND($D32&lt;&gt;"",I31&lt;&gt;"",$K32="Yes"),ROUND($D32*(1+$H$1)^(IF($C$27=$AM$2,RIGHT(I$7,1)-1,RIGHT(I$7,1)))*I31,0),IF(AND($D32&lt;&gt;"",I31&lt;&gt;"",$K32="No"),ROUND($D32*(1+$H$1)^0*I31,0),0))</f>
        <v>0</v>
      </c>
      <c r="J32" s="650">
        <f ca="1">SUM(E32:INDIRECT(ADDRESS(ROW(),COLUMN()-1)))</f>
        <v>0</v>
      </c>
      <c r="K32" s="655" t="s">
        <v>53</v>
      </c>
    </row>
    <row r="33" spans="1:17" ht="12.95" customHeight="1" x14ac:dyDescent="0.2">
      <c r="A33" s="311"/>
      <c r="B33" s="291" t="str">
        <f>IF(B31=$AR$5,MID(B31,FIND("nt ",B31)+3,256),IF(B31=$AS$5,MID(B31,FIND("nt ",B31)+3,256),IF(B31=$AT$5,MID(B31,FIND("ly ",B31)+3,256),IF(B31=$AU$5,MID(B31,FIND("ly ",B31)+3,256),"Annual Salary"))))</f>
        <v>≥ Half Time Enroll</v>
      </c>
      <c r="C33" s="632" t="s">
        <v>177</v>
      </c>
      <c r="D33" s="636">
        <f>IF(B31=$AP$5,$Z$2,IF(B31=$AQ$5,$Z$2,IF(B31=$AR$5,$Z$3,IF(B31=$AS$5,$Z$4,IF(B31=$AT$5,$Z$5,IF(B31=$AU$5,$Z$6,IF(B31=$AV$5,$Z$2,IF(B31=$AW$5,$Z$6,$Z$2))))))))</f>
        <v>8.5500000000000007E-2</v>
      </c>
      <c r="E33" s="171">
        <f>ROUND(E32*$D33,0)</f>
        <v>0</v>
      </c>
      <c r="F33" s="171">
        <f>ROUND(F32*$D33,0)</f>
        <v>0</v>
      </c>
      <c r="G33" s="171">
        <f>ROUND(G32*$D33,0)</f>
        <v>0</v>
      </c>
      <c r="H33" s="171">
        <f>ROUND(H32*$D33,0)</f>
        <v>0</v>
      </c>
      <c r="I33" s="171">
        <f>ROUND(I32*$D33,0)</f>
        <v>0</v>
      </c>
      <c r="J33" s="172">
        <f ca="1">SUM(E33:INDIRECT(ADDRESS(ROW(),COLUMN()-1)))</f>
        <v>0</v>
      </c>
      <c r="P33" s="421"/>
    </row>
    <row r="34" spans="1:17" ht="12.95" customHeight="1" x14ac:dyDescent="0.2">
      <c r="A34" s="311"/>
      <c r="B34" s="287" t="s">
        <v>156</v>
      </c>
      <c r="C34" s="633" t="s">
        <v>178</v>
      </c>
      <c r="D34" s="634" t="str">
        <f>IF(OR($B34=$AR$5,$B34=$AS$5,$B34=$AT$5,$B34=$AU$5),"",12)</f>
        <v/>
      </c>
      <c r="E34" s="288"/>
      <c r="F34" s="288" t="str">
        <f>IF(E34="","",E34)</f>
        <v/>
      </c>
      <c r="G34" s="288" t="str">
        <f>IF(F34="","",F34)</f>
        <v/>
      </c>
      <c r="H34" s="288" t="str">
        <f>IF(G34="","",G34)</f>
        <v/>
      </c>
      <c r="I34" s="288" t="str">
        <f>IF(H34="","",H34)</f>
        <v/>
      </c>
      <c r="J34" s="289" t="str">
        <f ca="1">IF(E34="","                          -","Sum: "&amp;ROUND(SUM(E34:INDIRECT(ADDRESS(ROW(),COLUMN()-1))),2)&amp;" | Avg: "&amp;ROUND(AVERAGE(E34:INDIRECT(ADDRESS(ROW(),COLUMN()-1))),2))</f>
        <v xml:space="preserve">                          -</v>
      </c>
      <c r="K34" s="654" t="str">
        <f>IF(OR($B34=$AT$5,$B34=$AU$5,$B34=$AW$5,$K35="No"),"Escalate?","")</f>
        <v/>
      </c>
    </row>
    <row r="35" spans="1:17" ht="12.95" customHeight="1" x14ac:dyDescent="0.2">
      <c r="A35" s="311"/>
      <c r="B35" s="291" t="str">
        <f>IF(B34=$AR$5,"Department &amp; Level",IF(B34=$AS$5,"Department &amp; Level","Name or TBN"))</f>
        <v>Department &amp; Level</v>
      </c>
      <c r="C35" s="632" t="str">
        <f>IF(OR($B34=$AT$5,$B34=$AU$5),"Hrly Rate","Mo. Salary")</f>
        <v>Mo. Salary</v>
      </c>
      <c r="D35" s="637" t="str">
        <f>IF(AND(ISNUMBER($B36),ISNUMBER($D34)),$B36/$D34,"")</f>
        <v/>
      </c>
      <c r="E35" s="1">
        <f>IF(AND($D35&lt;&gt;"",E34&lt;&gt;"",$K35="Yes"),ROUND($D35*(1+$H$1)^(IF($C$27=$AM$2,RIGHT(E$7,1)-1,RIGHT(E$7,1)))*E34,0),IF(AND($D35&lt;&gt;"",E34&lt;&gt;"",$K35="No"),ROUND($D35*(1+$H$1)^0*E34,0),0))</f>
        <v>0</v>
      </c>
      <c r="F35" s="1">
        <f>IF(AND($D35&lt;&gt;"",F34&lt;&gt;"",$K35="Yes"),ROUND($D35*(1+$H$1)^(IF($C$27=$AM$2,RIGHT(F$7,1)-1,RIGHT(F$7,1)))*F34,0),IF(AND($D35&lt;&gt;"",F34&lt;&gt;"",$K35="No"),ROUND($D35*(1+$H$1)^0*F34,0),0))</f>
        <v>0</v>
      </c>
      <c r="G35" s="1">
        <f>IF(AND($D35&lt;&gt;"",G34&lt;&gt;"",$K35="Yes"),ROUND($D35*(1+$H$1)^(IF($C$27=$AM$2,RIGHT(G$7,1)-1,RIGHT(G$7,1)))*G34,0),IF(AND($D35&lt;&gt;"",G34&lt;&gt;"",$K35="No"),ROUND($D35*(1+$H$1)^0*G34,0),0))</f>
        <v>0</v>
      </c>
      <c r="H35" s="1">
        <f>IF(AND($D35&lt;&gt;"",H34&lt;&gt;"",$K35="Yes"),ROUND($D35*(1+$H$1)^(IF($C$27=$AM$2,RIGHT(H$7,1)-1,RIGHT(H$7,1)))*H34,0),IF(AND($D35&lt;&gt;"",H34&lt;&gt;"",$K35="No"),ROUND($D35*(1+$H$1)^0*H34,0),0))</f>
        <v>0</v>
      </c>
      <c r="I35" s="1">
        <f>IF(AND($D35&lt;&gt;"",I34&lt;&gt;"",$K35="Yes"),ROUND($D35*(1+$H$1)^(IF($C$27=$AM$2,RIGHT(I$7,1)-1,RIGHT(I$7,1)))*I34,0),IF(AND($D35&lt;&gt;"",I34&lt;&gt;"",$K35="No"),ROUND($D35*(1+$H$1)^0*I34,0),0))</f>
        <v>0</v>
      </c>
      <c r="J35" s="650">
        <f ca="1">SUM(E35:INDIRECT(ADDRESS(ROW(),COLUMN()-1)))</f>
        <v>0</v>
      </c>
      <c r="K35" s="655" t="s">
        <v>53</v>
      </c>
    </row>
    <row r="36" spans="1:17" ht="12.95" customHeight="1" x14ac:dyDescent="0.2">
      <c r="A36" s="311"/>
      <c r="B36" s="291" t="str">
        <f>IF(B34=$AR$5,MID(B34,FIND("nt ",B34)+3,256),IF(B34=$AS$5,MID(B34,FIND("nt ",B34)+3,256),IF(B34=$AT$5,MID(B34,FIND("ly ",B34)+3,256),IF(B34=$AU$5,MID(B34,FIND("ly ",B34)+3,256),"Annual Salary"))))</f>
        <v>≥ Half Time Enroll</v>
      </c>
      <c r="C36" s="632" t="s">
        <v>177</v>
      </c>
      <c r="D36" s="636">
        <f>IF(B34=$AP$5,$Z$2,IF(B34=$AQ$5,$Z$2,IF(B34=$AR$5,$Z$3,IF(B34=$AS$5,$Z$4,IF(B34=$AT$5,$Z$5,IF(B34=$AU$5,$Z$6,IF(B34=$AV$5,$Z$2,IF(B34=$AW$5,$Z$6,$Z$2))))))))</f>
        <v>8.5500000000000007E-2</v>
      </c>
      <c r="E36" s="171">
        <f>ROUND(E35*$D36,0)</f>
        <v>0</v>
      </c>
      <c r="F36" s="171">
        <f>ROUND(F35*$D36,0)</f>
        <v>0</v>
      </c>
      <c r="G36" s="171">
        <f>ROUND(G35*$D36,0)</f>
        <v>0</v>
      </c>
      <c r="H36" s="171">
        <f>ROUND(H35*$D36,0)</f>
        <v>0</v>
      </c>
      <c r="I36" s="171">
        <f>ROUND(I35*$D36,0)</f>
        <v>0</v>
      </c>
      <c r="J36" s="172">
        <f ca="1">SUM(E36:INDIRECT(ADDRESS(ROW(),COLUMN()-1)))</f>
        <v>0</v>
      </c>
      <c r="P36" s="421"/>
    </row>
    <row r="37" spans="1:17" ht="12.95" customHeight="1" x14ac:dyDescent="0.2">
      <c r="A37" s="311"/>
      <c r="B37" s="287" t="s">
        <v>156</v>
      </c>
      <c r="C37" s="633" t="s">
        <v>178</v>
      </c>
      <c r="D37" s="634" t="str">
        <f>IF(OR($B37=$AR$5,$B37=$AS$5,$B37=$AT$5,$B37=$AU$5),"",12)</f>
        <v/>
      </c>
      <c r="E37" s="288"/>
      <c r="F37" s="288" t="str">
        <f>IF(E37="","",E37)</f>
        <v/>
      </c>
      <c r="G37" s="288" t="str">
        <f>IF(F37="","",F37)</f>
        <v/>
      </c>
      <c r="H37" s="288" t="str">
        <f>IF(G37="","",G37)</f>
        <v/>
      </c>
      <c r="I37" s="288" t="str">
        <f>IF(H37="","",H37)</f>
        <v/>
      </c>
      <c r="J37" s="289" t="str">
        <f ca="1">IF(E37="","                          -","Sum: "&amp;ROUND(SUM(E37:INDIRECT(ADDRESS(ROW(),COLUMN()-1))),2)&amp;" | Avg: "&amp;ROUND(AVERAGE(E37:INDIRECT(ADDRESS(ROW(),COLUMN()-1))),2))</f>
        <v xml:space="preserve">                          -</v>
      </c>
      <c r="K37" s="654" t="str">
        <f>IF(OR($B37=$AT$5,$B37=$AU$5,$B37=$AW$5,$K38="No"),"Escalate?","")</f>
        <v/>
      </c>
    </row>
    <row r="38" spans="1:17" ht="12.95" customHeight="1" x14ac:dyDescent="0.2">
      <c r="A38" s="311"/>
      <c r="B38" s="291" t="str">
        <f>IF(B37=$AR$5,"Department &amp; Level",IF(B37=$AS$5,"Department &amp; Level","Name or TBN"))</f>
        <v>Department &amp; Level</v>
      </c>
      <c r="C38" s="632" t="str">
        <f>IF(OR($B37=$AT$5,$B37=$AU$5),"Hrly Rate","Mo. Salary")</f>
        <v>Mo. Salary</v>
      </c>
      <c r="D38" s="637" t="str">
        <f>IF(AND(ISNUMBER($B39),ISNUMBER($D37)),$B39/$D37,"")</f>
        <v/>
      </c>
      <c r="E38" s="1">
        <f>IF(AND($D38&lt;&gt;"",E37&lt;&gt;"",$K38="Yes"),ROUND($D38*(1+$H$1)^(IF($C$27=$AM$2,RIGHT(E$7,1)-1,RIGHT(E$7,1)))*E37,0),IF(AND($D38&lt;&gt;"",E37&lt;&gt;"",$K38="No"),ROUND($D38*(1+$H$1)^0*E37,0),0))</f>
        <v>0</v>
      </c>
      <c r="F38" s="1">
        <f>IF(AND($D38&lt;&gt;"",F37&lt;&gt;"",$K38="Yes"),ROUND($D38*(1+$H$1)^(IF($C$27=$AM$2,RIGHT(F$7,1)-1,RIGHT(F$7,1)))*F37,0),IF(AND($D38&lt;&gt;"",F37&lt;&gt;"",$K38="No"),ROUND($D38*(1+$H$1)^0*F37,0),0))</f>
        <v>0</v>
      </c>
      <c r="G38" s="1">
        <f>IF(AND($D38&lt;&gt;"",G37&lt;&gt;"",$K38="Yes"),ROUND($D38*(1+$H$1)^(IF($C$27=$AM$2,RIGHT(G$7,1)-1,RIGHT(G$7,1)))*G37,0),IF(AND($D38&lt;&gt;"",G37&lt;&gt;"",$K38="No"),ROUND($D38*(1+$H$1)^0*G37,0),0))</f>
        <v>0</v>
      </c>
      <c r="H38" s="1">
        <f>IF(AND($D38&lt;&gt;"",H37&lt;&gt;"",$K38="Yes"),ROUND($D38*(1+$H$1)^(IF($C$27=$AM$2,RIGHT(H$7,1)-1,RIGHT(H$7,1)))*H37,0),IF(AND($D38&lt;&gt;"",H37&lt;&gt;"",$K38="No"),ROUND($D38*(1+$H$1)^0*H37,0),0))</f>
        <v>0</v>
      </c>
      <c r="I38" s="1">
        <f>IF(AND($D38&lt;&gt;"",I37&lt;&gt;"",$K38="Yes"),ROUND($D38*(1+$H$1)^(IF($C$27=$AM$2,RIGHT(I$7,1)-1,RIGHT(I$7,1)))*I37,0),IF(AND($D38&lt;&gt;"",I37&lt;&gt;"",$K38="No"),ROUND($D38*(1+$H$1)^0*I37,0),0))</f>
        <v>0</v>
      </c>
      <c r="J38" s="650">
        <f ca="1">SUM(E38:INDIRECT(ADDRESS(ROW(),COLUMN()-1)))</f>
        <v>0</v>
      </c>
      <c r="K38" s="655" t="s">
        <v>53</v>
      </c>
    </row>
    <row r="39" spans="1:17" ht="12.95" customHeight="1" x14ac:dyDescent="0.2">
      <c r="A39" s="311"/>
      <c r="B39" s="291" t="str">
        <f>IF(B37=$AR$5,MID(B37,FIND("nt ",B37)+3,256),IF(B37=$AS$5,MID(B37,FIND("nt ",B37)+3,256),IF(B37=$AT$5,MID(B37,FIND("ly ",B37)+3,256),IF(B37=$AU$5,MID(B37,FIND("ly ",B37)+3,256),"Annual Salary"))))</f>
        <v>≥ Half Time Enroll</v>
      </c>
      <c r="C39" s="632" t="s">
        <v>177</v>
      </c>
      <c r="D39" s="636">
        <f>IF(B37=$AP$5,$Z$2,IF(B37=$AQ$5,$Z$2,IF(B37=$AR$5,$Z$3,IF(B37=$AS$5,$Z$4,IF(B37=$AT$5,$Z$5,IF(B37=$AU$5,$Z$6,IF(B37=$AV$5,$Z$2,IF(B37=$AW$5,$Z$6,$Z$2))))))))</f>
        <v>8.5500000000000007E-2</v>
      </c>
      <c r="E39" s="171">
        <f>ROUND(E38*$D39,0)</f>
        <v>0</v>
      </c>
      <c r="F39" s="171">
        <f>ROUND(F38*$D39,0)</f>
        <v>0</v>
      </c>
      <c r="G39" s="171">
        <f>ROUND(G38*$D39,0)</f>
        <v>0</v>
      </c>
      <c r="H39" s="171">
        <f>ROUND(H38*$D39,0)</f>
        <v>0</v>
      </c>
      <c r="I39" s="171">
        <f>ROUND(I38*$D39,0)</f>
        <v>0</v>
      </c>
      <c r="J39" s="172">
        <f ca="1">SUM(E39:INDIRECT(ADDRESS(ROW(),COLUMN()-1)))</f>
        <v>0</v>
      </c>
      <c r="P39" s="421"/>
    </row>
    <row r="40" spans="1:17" ht="12.95" customHeight="1" x14ac:dyDescent="0.2">
      <c r="A40" s="311"/>
      <c r="B40" s="287" t="s">
        <v>156</v>
      </c>
      <c r="C40" s="633" t="s">
        <v>178</v>
      </c>
      <c r="D40" s="634" t="str">
        <f>IF(OR($B40=$AR$5,$B40=$AS$5,$B40=$AT$5,$B40=$AU$5),"",12)</f>
        <v/>
      </c>
      <c r="E40" s="288"/>
      <c r="F40" s="288" t="str">
        <f>IF(E40="","",E40)</f>
        <v/>
      </c>
      <c r="G40" s="288" t="str">
        <f>IF(F40="","",F40)</f>
        <v/>
      </c>
      <c r="H40" s="288" t="str">
        <f>IF(G40="","",G40)</f>
        <v/>
      </c>
      <c r="I40" s="288" t="str">
        <f>IF(H40="","",H40)</f>
        <v/>
      </c>
      <c r="J40" s="289" t="str">
        <f ca="1">IF(E40="","                          -","Sum: "&amp;ROUND(SUM(E40:INDIRECT(ADDRESS(ROW(),COLUMN()-1))),2)&amp;" | Avg: "&amp;ROUND(AVERAGE(E40:INDIRECT(ADDRESS(ROW(),COLUMN()-1))),2))</f>
        <v xml:space="preserve">                          -</v>
      </c>
      <c r="K40" s="654" t="str">
        <f>IF(OR($B40=$AT$5,$B40=$AU$5,$B40=$AW$5,$K41="No"),"Escalate?","")</f>
        <v/>
      </c>
    </row>
    <row r="41" spans="1:17" ht="12.95" customHeight="1" x14ac:dyDescent="0.2">
      <c r="A41" s="311"/>
      <c r="B41" s="291" t="str">
        <f>IF(B40=$AR$5,"Department &amp; Level",IF(B40=$AS$5,"Department &amp; Level","Name or TBN"))</f>
        <v>Department &amp; Level</v>
      </c>
      <c r="C41" s="632" t="str">
        <f>IF(OR($B40=$AT$5,$B40=$AU$5),"Hrly Rate","Mo. Salary")</f>
        <v>Mo. Salary</v>
      </c>
      <c r="D41" s="637" t="str">
        <f>IF(AND(ISNUMBER($B42),ISNUMBER($D40)),$B42/$D40,"")</f>
        <v/>
      </c>
      <c r="E41" s="1">
        <f>IF(AND($D41&lt;&gt;"",E40&lt;&gt;"",$K41="Yes"),ROUND($D41*(1+$H$1)^(IF($C$27=$AM$2,RIGHT(E$7,1)-1,RIGHT(E$7,1)))*E40,0),IF(AND($D41&lt;&gt;"",E40&lt;&gt;"",$K41="No"),ROUND($D41*(1+$H$1)^0*E40,0),0))</f>
        <v>0</v>
      </c>
      <c r="F41" s="1">
        <f>IF(AND($D41&lt;&gt;"",F40&lt;&gt;"",$K41="Yes"),ROUND($D41*(1+$H$1)^(IF($C$27=$AM$2,RIGHT(F$7,1)-1,RIGHT(F$7,1)))*F40,0),IF(AND($D41&lt;&gt;"",F40&lt;&gt;"",$K41="No"),ROUND($D41*(1+$H$1)^0*F40,0),0))</f>
        <v>0</v>
      </c>
      <c r="G41" s="1">
        <f>IF(AND($D41&lt;&gt;"",G40&lt;&gt;"",$K41="Yes"),ROUND($D41*(1+$H$1)^(IF($C$27=$AM$2,RIGHT(G$7,1)-1,RIGHT(G$7,1)))*G40,0),IF(AND($D41&lt;&gt;"",G40&lt;&gt;"",$K41="No"),ROUND($D41*(1+$H$1)^0*G40,0),0))</f>
        <v>0</v>
      </c>
      <c r="H41" s="1">
        <f>IF(AND($D41&lt;&gt;"",H40&lt;&gt;"",$K41="Yes"),ROUND($D41*(1+$H$1)^(IF($C$27=$AM$2,RIGHT(H$7,1)-1,RIGHT(H$7,1)))*H40,0),IF(AND($D41&lt;&gt;"",H40&lt;&gt;"",$K41="No"),ROUND($D41*(1+$H$1)^0*H40,0),0))</f>
        <v>0</v>
      </c>
      <c r="I41" s="1">
        <f>IF(AND($D41&lt;&gt;"",I40&lt;&gt;"",$K41="Yes"),ROUND($D41*(1+$H$1)^(IF($C$27=$AM$2,RIGHT(I$7,1)-1,RIGHT(I$7,1)))*I40,0),IF(AND($D41&lt;&gt;"",I40&lt;&gt;"",$K41="No"),ROUND($D41*(1+$H$1)^0*I40,0),0))</f>
        <v>0</v>
      </c>
      <c r="J41" s="650">
        <f ca="1">SUM(E41:INDIRECT(ADDRESS(ROW(),COLUMN()-1)))</f>
        <v>0</v>
      </c>
      <c r="K41" s="655" t="s">
        <v>53</v>
      </c>
    </row>
    <row r="42" spans="1:17" ht="12.95" customHeight="1" x14ac:dyDescent="0.2">
      <c r="A42" s="311"/>
      <c r="B42" s="291" t="str">
        <f>IF(B40=$AR$5,MID(B40,FIND("nt ",B40)+3,256),IF(B40=$AS$5,MID(B40,FIND("nt ",B40)+3,256),IF(B40=$AT$5,MID(B40,FIND("ly ",B40)+3,256),IF(B40=$AU$5,MID(B40,FIND("ly ",B40)+3,256),"Annual Salary"))))</f>
        <v>≥ Half Time Enroll</v>
      </c>
      <c r="C42" s="632" t="s">
        <v>177</v>
      </c>
      <c r="D42" s="636">
        <f>IF(B40=$AP$5,$Z$2,IF(B40=$AQ$5,$Z$2,IF(B40=$AR$5,$Z$3,IF(B40=$AS$5,$Z$4,IF(B40=$AT$5,$Z$5,IF(B40=$AU$5,$Z$6,IF(B40=$AV$5,$Z$2,IF(B40=$AW$5,$Z$6,$Z$2))))))))</f>
        <v>8.5500000000000007E-2</v>
      </c>
      <c r="E42" s="171">
        <f>ROUND(E41*$D42,0)</f>
        <v>0</v>
      </c>
      <c r="F42" s="171">
        <f>ROUND(F41*$D42,0)</f>
        <v>0</v>
      </c>
      <c r="G42" s="171">
        <f>ROUND(G41*$D42,0)</f>
        <v>0</v>
      </c>
      <c r="H42" s="171">
        <f>ROUND(H41*$D42,0)</f>
        <v>0</v>
      </c>
      <c r="I42" s="171">
        <f>ROUND(I41*$D42,0)</f>
        <v>0</v>
      </c>
      <c r="J42" s="172">
        <f ca="1">SUM(E42:INDIRECT(ADDRESS(ROW(),COLUMN()-1)))</f>
        <v>0</v>
      </c>
      <c r="P42" s="421"/>
    </row>
    <row r="43" spans="1:17" ht="9" customHeight="1" x14ac:dyDescent="0.2">
      <c r="A43" s="20"/>
      <c r="C43" s="23"/>
      <c r="D43" s="112"/>
      <c r="E43" s="13"/>
      <c r="F43" s="13"/>
      <c r="G43" s="13"/>
      <c r="H43" s="13"/>
      <c r="I43" s="13"/>
      <c r="J43" s="24"/>
    </row>
    <row r="44" spans="1:17" ht="12.95" customHeight="1" x14ac:dyDescent="0.2">
      <c r="A44" s="293"/>
      <c r="B44" s="294" t="s">
        <v>132</v>
      </c>
      <c r="C44" s="295" t="s">
        <v>20</v>
      </c>
      <c r="D44" s="312"/>
      <c r="E44" s="297">
        <f>SUMIF($C$29:$C$43,"Mo. Salary",E29:E43)+SUMIF($C$29:$C$43,"Hrly Rate",E29:E43)</f>
        <v>0</v>
      </c>
      <c r="F44" s="297">
        <f>SUMIF($C$29:$C$43,"Mo. Salary",F29:F43)+SUMIF($C$29:$C$43,"Hrly Rate",F29:F43)</f>
        <v>0</v>
      </c>
      <c r="G44" s="297">
        <f>SUMIF($C$29:$C$43,"Mo. Salary",G29:G43)+SUMIF($C$29:$C$43,"Hrly Rate",G29:G43)</f>
        <v>0</v>
      </c>
      <c r="H44" s="297">
        <f>SUMIF($C$29:$C$43,"Mo. Salary",H29:H43)+SUMIF($C$29:$C$43,"Hrly Rate",H29:H43)</f>
        <v>0</v>
      </c>
      <c r="I44" s="297">
        <f>SUMIF($C$29:$C$43,"Mo. Salary",I29:I43)+SUMIF($C$29:$C$43,"Hrly Rate",I29:I43)</f>
        <v>0</v>
      </c>
      <c r="J44" s="298">
        <f ca="1">SUM(E44:INDIRECT(ADDRESS(ROW(),COLUMN()-1)))</f>
        <v>0</v>
      </c>
      <c r="Q44" s="639"/>
    </row>
    <row r="45" spans="1:17" ht="12.95" customHeight="1" x14ac:dyDescent="0.2">
      <c r="A45" s="293"/>
      <c r="B45" s="313"/>
      <c r="C45" s="295" t="s">
        <v>21</v>
      </c>
      <c r="D45" s="312"/>
      <c r="E45" s="171">
        <f>SUMIF($C$29:$C$43,"Fringe Rate",E29:E43)</f>
        <v>0</v>
      </c>
      <c r="F45" s="171">
        <f>SUMIF($C$29:$C$43,"Fringe Rate",F29:F43)</f>
        <v>0</v>
      </c>
      <c r="G45" s="171">
        <f>SUMIF($C$29:$C$43,"Fringe Rate",G29:G43)</f>
        <v>0</v>
      </c>
      <c r="H45" s="171">
        <f>SUMIF($C$29:$C$43,"Fringe Rate",H29:H43)</f>
        <v>0</v>
      </c>
      <c r="I45" s="171">
        <f>SUMIF($C$29:$C$43,"Fringe Rate",I29:I43)</f>
        <v>0</v>
      </c>
      <c r="J45" s="172">
        <f ca="1">SUM(E45:INDIRECT(ADDRESS(ROW(),COLUMN()-1)))</f>
        <v>0</v>
      </c>
      <c r="Q45" s="639"/>
    </row>
    <row r="46" spans="1:17" ht="12.95" customHeight="1" thickBot="1" x14ac:dyDescent="0.25">
      <c r="A46" s="314"/>
      <c r="B46" s="315"/>
      <c r="C46" s="304" t="s">
        <v>0</v>
      </c>
      <c r="D46" s="305"/>
      <c r="E46" s="306">
        <f>SUM(E44:E45)</f>
        <v>0</v>
      </c>
      <c r="F46" s="306">
        <f>SUM(F44:F45)</f>
        <v>0</v>
      </c>
      <c r="G46" s="306">
        <f>SUM(G44:G45)</f>
        <v>0</v>
      </c>
      <c r="H46" s="306">
        <f>SUM(H44:H45)</f>
        <v>0</v>
      </c>
      <c r="I46" s="306">
        <f>SUM(I44:I45)</f>
        <v>0</v>
      </c>
      <c r="J46" s="307">
        <f ca="1">SUM(E46:INDIRECT(ADDRESS(ROW(),COLUMN()-1)))</f>
        <v>0</v>
      </c>
    </row>
    <row r="47" spans="1:17" ht="4.5" customHeight="1" thickBot="1" x14ac:dyDescent="0.25">
      <c r="A47" s="316"/>
      <c r="B47" s="317"/>
      <c r="C47" s="318"/>
      <c r="D47" s="318"/>
      <c r="E47" s="75"/>
      <c r="F47" s="75"/>
      <c r="G47" s="75"/>
      <c r="H47" s="75"/>
      <c r="I47" s="75"/>
      <c r="J47" s="82"/>
    </row>
    <row r="48" spans="1:17" ht="12.95" customHeight="1" x14ac:dyDescent="0.2">
      <c r="A48" s="319"/>
      <c r="B48" s="320"/>
      <c r="C48" s="321" t="s">
        <v>20</v>
      </c>
      <c r="D48" s="322"/>
      <c r="E48" s="323">
        <f t="shared" ref="E48:I49" si="0">E23+E44</f>
        <v>0</v>
      </c>
      <c r="F48" s="323">
        <f t="shared" si="0"/>
        <v>0</v>
      </c>
      <c r="G48" s="323">
        <f t="shared" si="0"/>
        <v>0</v>
      </c>
      <c r="H48" s="323">
        <f t="shared" si="0"/>
        <v>0</v>
      </c>
      <c r="I48" s="323">
        <f t="shared" si="0"/>
        <v>0</v>
      </c>
      <c r="J48" s="324">
        <f ca="1">SUM(E48:INDIRECT(ADDRESS(ROW(),COLUMN()-1)))</f>
        <v>0</v>
      </c>
    </row>
    <row r="49" spans="1:20" ht="12.95" customHeight="1" x14ac:dyDescent="0.2">
      <c r="A49" s="293" t="s">
        <v>3</v>
      </c>
      <c r="B49" s="325" t="s">
        <v>88</v>
      </c>
      <c r="C49" s="295" t="s">
        <v>21</v>
      </c>
      <c r="D49" s="301"/>
      <c r="E49" s="171">
        <f t="shared" si="0"/>
        <v>0</v>
      </c>
      <c r="F49" s="171">
        <f t="shared" si="0"/>
        <v>0</v>
      </c>
      <c r="G49" s="171">
        <f t="shared" si="0"/>
        <v>0</v>
      </c>
      <c r="H49" s="171">
        <f t="shared" si="0"/>
        <v>0</v>
      </c>
      <c r="I49" s="171">
        <f t="shared" si="0"/>
        <v>0</v>
      </c>
      <c r="J49" s="172">
        <f ca="1">SUM(E49:INDIRECT(ADDRESS(ROW(),COLUMN()-1)))</f>
        <v>0</v>
      </c>
    </row>
    <row r="50" spans="1:20" ht="12.95" customHeight="1" thickBot="1" x14ac:dyDescent="0.25">
      <c r="A50" s="314"/>
      <c r="B50" s="326" t="s">
        <v>29</v>
      </c>
      <c r="C50" s="304" t="s">
        <v>0</v>
      </c>
      <c r="D50" s="327"/>
      <c r="E50" s="306">
        <f>SUM(E48:E49)</f>
        <v>0</v>
      </c>
      <c r="F50" s="306">
        <f>SUM(F48:F49)</f>
        <v>0</v>
      </c>
      <c r="G50" s="306">
        <f>SUM(G48:G49)</f>
        <v>0</v>
      </c>
      <c r="H50" s="306">
        <f>SUM(H48:H49)</f>
        <v>0</v>
      </c>
      <c r="I50" s="306">
        <f>SUM(I48:I49)</f>
        <v>0</v>
      </c>
      <c r="J50" s="307">
        <f ca="1">SUM(E50:INDIRECT(ADDRESS(ROW(),COLUMN()-1)))</f>
        <v>0</v>
      </c>
    </row>
    <row r="51" spans="1:20" ht="4.5" customHeight="1" thickBot="1" x14ac:dyDescent="0.25">
      <c r="A51" s="316"/>
      <c r="B51" s="328"/>
      <c r="C51" s="318"/>
      <c r="D51" s="318"/>
      <c r="E51" s="71"/>
      <c r="F51" s="71"/>
      <c r="G51" s="71"/>
      <c r="H51" s="71"/>
      <c r="I51" s="71"/>
      <c r="J51" s="80"/>
    </row>
    <row r="52" spans="1:20" ht="12.95" customHeight="1" x14ac:dyDescent="0.2">
      <c r="A52" s="285" t="s">
        <v>4</v>
      </c>
      <c r="B52" s="286" t="s">
        <v>97</v>
      </c>
      <c r="C52" s="329"/>
      <c r="D52" s="329"/>
      <c r="E52" s="309"/>
      <c r="F52" s="309"/>
      <c r="G52" s="309"/>
      <c r="H52" s="309"/>
      <c r="I52" s="309"/>
      <c r="J52" s="310"/>
      <c r="K52" s="405" t="str">
        <f>IF(OR($K$6="",$K$6=FALSE),"To add Equipment, copy row "&amp;ROW(B54)&amp;" and paste ('Insert Copied Rows') in row "&amp;ROW(B55),"")</f>
        <v>To add Equipment, copy row 54 and paste ('Insert Copied Rows') in row 55</v>
      </c>
    </row>
    <row r="53" spans="1:20" ht="12.95" customHeight="1" x14ac:dyDescent="0.2">
      <c r="A53" s="20"/>
      <c r="B53" s="330" t="s">
        <v>133</v>
      </c>
      <c r="C53" s="23"/>
      <c r="D53" s="23"/>
      <c r="E53" s="331">
        <v>0</v>
      </c>
      <c r="F53" s="331">
        <v>0</v>
      </c>
      <c r="G53" s="331">
        <v>0</v>
      </c>
      <c r="H53" s="331">
        <v>0</v>
      </c>
      <c r="I53" s="331">
        <v>0</v>
      </c>
      <c r="J53" s="332">
        <f ca="1">SUM(E53:INDIRECT(ADDRESS(ROW(),COLUMN()-1)))</f>
        <v>0</v>
      </c>
    </row>
    <row r="54" spans="1:20" ht="12.95" customHeight="1" x14ac:dyDescent="0.2">
      <c r="A54" s="20"/>
      <c r="B54" s="330" t="s">
        <v>152</v>
      </c>
      <c r="C54" s="23"/>
      <c r="D54" s="23"/>
      <c r="E54" s="331">
        <v>0</v>
      </c>
      <c r="F54" s="331">
        <v>0</v>
      </c>
      <c r="G54" s="331">
        <v>0</v>
      </c>
      <c r="H54" s="331">
        <v>0</v>
      </c>
      <c r="I54" s="331">
        <v>0</v>
      </c>
      <c r="J54" s="332">
        <f ca="1">SUM(E54:INDIRECT(ADDRESS(ROW(),COLUMN()-1)))</f>
        <v>0</v>
      </c>
    </row>
    <row r="55" spans="1:20" ht="9" customHeight="1" x14ac:dyDescent="0.2">
      <c r="A55" s="20"/>
      <c r="C55" s="23"/>
      <c r="D55" s="23"/>
      <c r="E55" s="13"/>
      <c r="F55" s="13"/>
      <c r="G55" s="13"/>
      <c r="H55" s="13"/>
      <c r="I55" s="13"/>
      <c r="J55" s="24"/>
    </row>
    <row r="56" spans="1:20" ht="12.95" customHeight="1" thickBot="1" x14ac:dyDescent="0.25">
      <c r="A56" s="46"/>
      <c r="B56" s="333" t="s">
        <v>134</v>
      </c>
      <c r="C56" s="334"/>
      <c r="D56" s="327"/>
      <c r="E56" s="335">
        <f>SUM(E53:E55)</f>
        <v>0</v>
      </c>
      <c r="F56" s="335">
        <f>SUM(F53:F55)</f>
        <v>0</v>
      </c>
      <c r="G56" s="335">
        <f>SUM(G53:G55)</f>
        <v>0</v>
      </c>
      <c r="H56" s="335">
        <f>SUM(H53:H55)</f>
        <v>0</v>
      </c>
      <c r="I56" s="335">
        <f>SUM(I53:I55)</f>
        <v>0</v>
      </c>
      <c r="J56" s="336">
        <f ca="1">SUM(E56:INDIRECT(ADDRESS(ROW(),COLUMN()-1)))</f>
        <v>0</v>
      </c>
    </row>
    <row r="57" spans="1:20" ht="4.5" customHeight="1" thickBot="1" x14ac:dyDescent="0.25">
      <c r="A57" s="549"/>
      <c r="B57" s="552"/>
      <c r="C57" s="551"/>
      <c r="D57" s="551"/>
      <c r="E57" s="564"/>
      <c r="F57" s="564"/>
      <c r="G57" s="564"/>
      <c r="H57" s="564"/>
      <c r="I57" s="564"/>
      <c r="J57" s="641"/>
    </row>
    <row r="58" spans="1:20" ht="12.95" customHeight="1" x14ac:dyDescent="0.2">
      <c r="A58" s="20" t="s">
        <v>5</v>
      </c>
      <c r="B58" s="346" t="s">
        <v>93</v>
      </c>
      <c r="D58" s="23"/>
      <c r="E58" s="2">
        <f>'Direct costs Detail'!D45</f>
        <v>0</v>
      </c>
      <c r="F58" s="2" cm="1">
        <f t="array" aca="1" ref="F58" ca="1">ROUND(INDIRECT(ADDRESS(ROW(),COLUMN()-1))*(1+$H$2),0)</f>
        <v>0</v>
      </c>
      <c r="G58" s="2" cm="1">
        <f t="array" aca="1" ref="G58" ca="1">ROUND(INDIRECT(ADDRESS(ROW(),COLUMN()-1))*(1+$H$2),0)</f>
        <v>0</v>
      </c>
      <c r="H58" s="2" cm="1">
        <f t="array" aca="1" ref="H58" ca="1">ROUND(INDIRECT(ADDRESS(ROW(),COLUMN()-1))*(1+$H$2),0)</f>
        <v>0</v>
      </c>
      <c r="I58" s="2" cm="1">
        <f t="array" aca="1" ref="I58" ca="1">ROUND(INDIRECT(ADDRESS(ROW(),COLUMN()-1))*(1+$H$2),0)</f>
        <v>0</v>
      </c>
      <c r="J58" s="24">
        <f ca="1">SUM(E58:INDIRECT(ADDRESS(ROW(),COLUMN()-1)))</f>
        <v>0</v>
      </c>
    </row>
    <row r="59" spans="1:20" ht="12.95" customHeight="1" thickBot="1" x14ac:dyDescent="0.25">
      <c r="A59" s="20"/>
      <c r="B59" s="346" t="s">
        <v>94</v>
      </c>
      <c r="D59" s="23"/>
      <c r="E59" s="2">
        <f>'Direct costs Detail'!D46</f>
        <v>0</v>
      </c>
      <c r="F59" s="2" cm="1">
        <f t="array" aca="1" ref="F59" ca="1">ROUND(INDIRECT(ADDRESS(ROW(),COLUMN()-1))*(1+$H$2),0)</f>
        <v>0</v>
      </c>
      <c r="G59" s="2" cm="1">
        <f t="array" aca="1" ref="G59" ca="1">ROUND(INDIRECT(ADDRESS(ROW(),COLUMN()-1))*(1+$H$2),0)</f>
        <v>0</v>
      </c>
      <c r="H59" s="2" cm="1">
        <f t="array" aca="1" ref="H59" ca="1">ROUND(INDIRECT(ADDRESS(ROW(),COLUMN()-1))*(1+$H$2),0)</f>
        <v>0</v>
      </c>
      <c r="I59" s="2" cm="1">
        <f t="array" aca="1" ref="I59" ca="1">ROUND(INDIRECT(ADDRESS(ROW(),COLUMN()-1))*(1+$H$2),0)</f>
        <v>0</v>
      </c>
      <c r="J59" s="24">
        <f ca="1">SUM(E59:INDIRECT(ADDRESS(ROW(),COLUMN()-1)))</f>
        <v>0</v>
      </c>
    </row>
    <row r="60" spans="1:20" ht="4.5" customHeight="1" thickBot="1" x14ac:dyDescent="0.25">
      <c r="A60" s="549"/>
      <c r="B60" s="435"/>
      <c r="C60" s="565"/>
      <c r="D60" s="551"/>
      <c r="E60" s="568"/>
      <c r="F60" s="568"/>
      <c r="G60" s="568"/>
      <c r="H60" s="568"/>
      <c r="I60" s="568"/>
      <c r="J60" s="641"/>
    </row>
    <row r="61" spans="1:20" ht="12.95" customHeight="1" x14ac:dyDescent="0.2">
      <c r="A61" s="285" t="s">
        <v>36</v>
      </c>
      <c r="B61" s="339" t="s">
        <v>30</v>
      </c>
      <c r="C61" s="337"/>
      <c r="D61" s="340"/>
      <c r="E61" s="338"/>
      <c r="F61" s="338"/>
      <c r="G61" s="338"/>
      <c r="H61" s="338"/>
      <c r="I61" s="338"/>
      <c r="J61" s="310"/>
    </row>
    <row r="62" spans="1:20" ht="12.95" customHeight="1" x14ac:dyDescent="0.2">
      <c r="A62" s="20"/>
      <c r="B62" s="281"/>
      <c r="C62" s="749" t="s">
        <v>135</v>
      </c>
      <c r="D62" s="749"/>
      <c r="E62" s="341"/>
      <c r="F62" s="341"/>
      <c r="G62" s="341"/>
      <c r="H62" s="341"/>
      <c r="I62" s="341"/>
      <c r="J62" s="342" t="str">
        <f ca="1">IF(SUM(E62:INDIRECT(ADDRESS(ROW(),COLUMN()-1)))=0,"                     -","TOTAL: "&amp;(SUM(E62:INDIRECT(ADDRESS(ROW(),COLUMN()-1)))))</f>
        <v xml:space="preserve">                     -</v>
      </c>
    </row>
    <row r="63" spans="1:20" ht="12.95" customHeight="1" x14ac:dyDescent="0.2">
      <c r="A63" s="20"/>
      <c r="B63" s="343" t="s">
        <v>136</v>
      </c>
      <c r="D63" s="404"/>
      <c r="E63" s="4">
        <f>$D63*E$62</f>
        <v>0</v>
      </c>
      <c r="F63" s="4">
        <f>$D63*F$62</f>
        <v>0</v>
      </c>
      <c r="G63" s="4">
        <f>$D63*G$62</f>
        <v>0</v>
      </c>
      <c r="H63" s="4">
        <f>$D63*H$62</f>
        <v>0</v>
      </c>
      <c r="I63" s="4">
        <f>$D63*I$62</f>
        <v>0</v>
      </c>
      <c r="J63" s="332">
        <f ca="1">SUM(E63:INDIRECT(ADDRESS(ROW(),COLUMN()-1)))</f>
        <v>0</v>
      </c>
      <c r="L63" s="160"/>
      <c r="M63" s="143"/>
      <c r="P63" s="25"/>
      <c r="Q63" s="25"/>
      <c r="R63" s="25"/>
      <c r="S63" s="25"/>
      <c r="T63" s="221"/>
    </row>
    <row r="64" spans="1:20" ht="12.95" customHeight="1" x14ac:dyDescent="0.2">
      <c r="A64" s="20"/>
      <c r="B64" s="343" t="s">
        <v>137</v>
      </c>
      <c r="D64" s="404"/>
      <c r="E64" s="4">
        <f t="shared" ref="E64:I66" si="1">$D64*E$62</f>
        <v>0</v>
      </c>
      <c r="F64" s="4">
        <f t="shared" si="1"/>
        <v>0</v>
      </c>
      <c r="G64" s="4">
        <f t="shared" si="1"/>
        <v>0</v>
      </c>
      <c r="H64" s="4">
        <f t="shared" si="1"/>
        <v>0</v>
      </c>
      <c r="I64" s="4">
        <f t="shared" si="1"/>
        <v>0</v>
      </c>
      <c r="J64" s="332">
        <f ca="1">SUM(E64:INDIRECT(ADDRESS(ROW(),COLUMN()-1)))</f>
        <v>0</v>
      </c>
    </row>
    <row r="65" spans="1:12" ht="12.95" customHeight="1" x14ac:dyDescent="0.2">
      <c r="A65" s="20"/>
      <c r="B65" s="343" t="s">
        <v>138</v>
      </c>
      <c r="D65" s="404"/>
      <c r="E65" s="4">
        <f t="shared" si="1"/>
        <v>0</v>
      </c>
      <c r="F65" s="4">
        <f t="shared" si="1"/>
        <v>0</v>
      </c>
      <c r="G65" s="4">
        <f t="shared" si="1"/>
        <v>0</v>
      </c>
      <c r="H65" s="4">
        <f t="shared" si="1"/>
        <v>0</v>
      </c>
      <c r="I65" s="4">
        <f t="shared" si="1"/>
        <v>0</v>
      </c>
      <c r="J65" s="332">
        <f ca="1">SUM(E65:INDIRECT(ADDRESS(ROW(),COLUMN()-1)))</f>
        <v>0</v>
      </c>
    </row>
    <row r="66" spans="1:12" ht="12.95" customHeight="1" x14ac:dyDescent="0.2">
      <c r="A66" s="20"/>
      <c r="B66" s="343" t="s">
        <v>61</v>
      </c>
      <c r="D66" s="404"/>
      <c r="E66" s="4">
        <f t="shared" si="1"/>
        <v>0</v>
      </c>
      <c r="F66" s="4">
        <f t="shared" si="1"/>
        <v>0</v>
      </c>
      <c r="G66" s="4">
        <f t="shared" si="1"/>
        <v>0</v>
      </c>
      <c r="H66" s="4">
        <f t="shared" si="1"/>
        <v>0</v>
      </c>
      <c r="I66" s="4">
        <f t="shared" si="1"/>
        <v>0</v>
      </c>
      <c r="J66" s="332">
        <f ca="1">SUM(E66:INDIRECT(ADDRESS(ROW(),COLUMN()-1)))</f>
        <v>0</v>
      </c>
    </row>
    <row r="67" spans="1:12" ht="4.5" customHeight="1" x14ac:dyDescent="0.2">
      <c r="A67" s="20"/>
      <c r="C67" s="23"/>
      <c r="D67" s="23"/>
      <c r="E67" s="13"/>
      <c r="F67" s="13"/>
      <c r="G67" s="13"/>
      <c r="H67" s="13"/>
      <c r="I67" s="13"/>
      <c r="J67" s="24"/>
    </row>
    <row r="68" spans="1:12" ht="12.95" customHeight="1" thickBot="1" x14ac:dyDescent="0.25">
      <c r="A68" s="46"/>
      <c r="B68" s="326" t="s">
        <v>139</v>
      </c>
      <c r="C68" s="327"/>
      <c r="D68" s="327"/>
      <c r="E68" s="344">
        <f>SUM(E63:E67)</f>
        <v>0</v>
      </c>
      <c r="F68" s="344">
        <f>SUM(F63:F67)</f>
        <v>0</v>
      </c>
      <c r="G68" s="344">
        <f>SUM(G63:G67)</f>
        <v>0</v>
      </c>
      <c r="H68" s="344">
        <f>SUM(H63:H67)</f>
        <v>0</v>
      </c>
      <c r="I68" s="344">
        <f>SUM(I63:I67)</f>
        <v>0</v>
      </c>
      <c r="J68" s="336">
        <f ca="1">SUM(E68:INDIRECT(ADDRESS(ROW(),COLUMN()-1)))</f>
        <v>0</v>
      </c>
    </row>
    <row r="69" spans="1:12" ht="4.5" customHeight="1" thickBot="1" x14ac:dyDescent="0.25">
      <c r="A69" s="316"/>
      <c r="B69" s="328"/>
      <c r="C69" s="318"/>
      <c r="D69" s="318"/>
      <c r="E69" s="71"/>
      <c r="F69" s="71"/>
      <c r="G69" s="71"/>
      <c r="H69" s="71"/>
      <c r="I69" s="71"/>
      <c r="J69" s="80"/>
    </row>
    <row r="70" spans="1:12" ht="12.95" customHeight="1" x14ac:dyDescent="0.2">
      <c r="A70" s="285" t="s">
        <v>37</v>
      </c>
      <c r="B70" s="345" t="s">
        <v>85</v>
      </c>
      <c r="C70" s="329"/>
      <c r="D70" s="329"/>
      <c r="E70" s="309"/>
      <c r="F70" s="309"/>
      <c r="G70" s="309"/>
      <c r="H70" s="309"/>
      <c r="I70" s="309"/>
      <c r="J70" s="310"/>
    </row>
    <row r="71" spans="1:12" ht="12.95" customHeight="1" x14ac:dyDescent="0.2">
      <c r="A71" s="66"/>
      <c r="B71" s="346" t="s">
        <v>12</v>
      </c>
      <c r="C71" s="23"/>
      <c r="D71" s="23"/>
      <c r="E71" s="2">
        <f>'Direct costs Detail'!D72</f>
        <v>0</v>
      </c>
      <c r="F71" s="2" cm="1">
        <f t="array" aca="1" ref="F71" ca="1">ROUND(INDIRECT(ADDRESS(ROW(),COLUMN()-1))*(1+$H$2),0)</f>
        <v>0</v>
      </c>
      <c r="G71" s="2" cm="1">
        <f t="array" aca="1" ref="G71" ca="1">ROUND(INDIRECT(ADDRESS(ROW(),COLUMN()-1))*(1+$H$2),0)</f>
        <v>0</v>
      </c>
      <c r="H71" s="2" cm="1">
        <f t="array" aca="1" ref="H71" ca="1">ROUND(INDIRECT(ADDRESS(ROW(),COLUMN()-1))*(1+$H$2),0)</f>
        <v>0</v>
      </c>
      <c r="I71" s="2" cm="1">
        <f t="array" aca="1" ref="I71" ca="1">ROUND(INDIRECT(ADDRESS(ROW(),COLUMN()-1))*(1+$H$2),0)</f>
        <v>0</v>
      </c>
      <c r="J71" s="24">
        <f ca="1">SUM(E71:INDIRECT(ADDRESS(ROW(),COLUMN()-1)))</f>
        <v>0</v>
      </c>
    </row>
    <row r="72" spans="1:12" ht="12.95" customHeight="1" x14ac:dyDescent="0.2">
      <c r="A72" s="20"/>
      <c r="B72" s="346" t="s">
        <v>103</v>
      </c>
      <c r="C72" s="23"/>
      <c r="D72" s="23"/>
      <c r="E72" s="2">
        <f>'Direct costs Detail'!D78</f>
        <v>0</v>
      </c>
      <c r="F72" s="2" cm="1">
        <f t="array" aca="1" ref="F72" ca="1">ROUND(INDIRECT(ADDRESS(ROW(),COLUMN()-1))*(1+$H$2),0)</f>
        <v>0</v>
      </c>
      <c r="G72" s="2" cm="1">
        <f t="array" aca="1" ref="G72" ca="1">ROUND(INDIRECT(ADDRESS(ROW(),COLUMN()-1))*(1+$H$2),0)</f>
        <v>0</v>
      </c>
      <c r="H72" s="2" cm="1">
        <f t="array" aca="1" ref="H72" ca="1">ROUND(INDIRECT(ADDRESS(ROW(),COLUMN()-1))*(1+$H$2),0)</f>
        <v>0</v>
      </c>
      <c r="I72" s="2" cm="1">
        <f t="array" aca="1" ref="I72" ca="1">ROUND(INDIRECT(ADDRESS(ROW(),COLUMN()-1))*(1+$H$2),0)</f>
        <v>0</v>
      </c>
      <c r="J72" s="24">
        <f ca="1">SUM(E72:INDIRECT(ADDRESS(ROW(),COLUMN()-1)))</f>
        <v>0</v>
      </c>
    </row>
    <row r="73" spans="1:12" ht="12.95" customHeight="1" x14ac:dyDescent="0.2">
      <c r="A73" s="20"/>
      <c r="B73" s="346" t="s">
        <v>102</v>
      </c>
      <c r="C73" s="23"/>
      <c r="D73" s="23"/>
      <c r="E73" s="2">
        <v>0</v>
      </c>
      <c r="F73" s="2" cm="1">
        <f t="array" aca="1" ref="F73" ca="1">ROUND(INDIRECT(ADDRESS(ROW(),COLUMN()-1))*(1+$H$2),0)</f>
        <v>0</v>
      </c>
      <c r="G73" s="2" cm="1">
        <f t="array" aca="1" ref="G73" ca="1">ROUND(INDIRECT(ADDRESS(ROW(),COLUMN()-1))*(1+$H$2),0)</f>
        <v>0</v>
      </c>
      <c r="H73" s="2" cm="1">
        <f t="array" aca="1" ref="H73" ca="1">ROUND(INDIRECT(ADDRESS(ROW(),COLUMN()-1))*(1+$H$2),0)</f>
        <v>0</v>
      </c>
      <c r="I73" s="2" cm="1">
        <f t="array" aca="1" ref="I73" ca="1">ROUND(INDIRECT(ADDRESS(ROW(),COLUMN()-1))*(1+$H$2),0)</f>
        <v>0</v>
      </c>
      <c r="J73" s="24">
        <f ca="1">SUM(E73:INDIRECT(ADDRESS(ROW(),COLUMN()-1)))</f>
        <v>0</v>
      </c>
    </row>
    <row r="74" spans="1:12" ht="12.95" customHeight="1" x14ac:dyDescent="0.2">
      <c r="A74" s="20"/>
      <c r="B74" s="346" t="s">
        <v>82</v>
      </c>
      <c r="C74" s="23"/>
      <c r="D74" s="23"/>
      <c r="E74" s="2">
        <v>0</v>
      </c>
      <c r="F74" s="2" cm="1">
        <f t="array" aca="1" ref="F74" ca="1">ROUND(INDIRECT(ADDRESS(ROW(),COLUMN()-1))*(1+$H$2),0)</f>
        <v>0</v>
      </c>
      <c r="G74" s="2" cm="1">
        <f t="array" aca="1" ref="G74" ca="1">ROUND(INDIRECT(ADDRESS(ROW(),COLUMN()-1))*(1+$H$2),0)</f>
        <v>0</v>
      </c>
      <c r="H74" s="2" cm="1">
        <f t="array" aca="1" ref="H74" ca="1">ROUND(INDIRECT(ADDRESS(ROW(),COLUMN()-1))*(1+$H$2),0)</f>
        <v>0</v>
      </c>
      <c r="I74" s="2" cm="1">
        <f t="array" aca="1" ref="I74" ca="1">ROUND(INDIRECT(ADDRESS(ROW(),COLUMN()-1))*(1+$H$2),0)</f>
        <v>0</v>
      </c>
      <c r="J74" s="24">
        <f ca="1">SUM(E74:INDIRECT(ADDRESS(ROW(),COLUMN()-1)))</f>
        <v>0</v>
      </c>
      <c r="L74" s="35"/>
    </row>
    <row r="75" spans="1:12" ht="12.95" customHeight="1" x14ac:dyDescent="0.2">
      <c r="A75" s="20"/>
      <c r="B75" s="347" t="s">
        <v>175</v>
      </c>
      <c r="C75" s="23"/>
      <c r="D75" s="23"/>
      <c r="E75" s="4">
        <v>0</v>
      </c>
      <c r="F75" s="4" cm="1">
        <f t="array" aca="1" ref="F75" ca="1">ROUND(INDIRECT(ADDRESS(ROW(),COLUMN()-1))*(1+$H$2),0)</f>
        <v>0</v>
      </c>
      <c r="G75" s="4" cm="1">
        <f t="array" aca="1" ref="G75" ca="1">ROUND(INDIRECT(ADDRESS(ROW(),COLUMN()-1))*(1+$H$2),0)</f>
        <v>0</v>
      </c>
      <c r="H75" s="4" cm="1">
        <f t="array" aca="1" ref="H75" ca="1">ROUND(INDIRECT(ADDRESS(ROW(),COLUMN()-1))*(1+$H$2),0)</f>
        <v>0</v>
      </c>
      <c r="I75" s="4" cm="1">
        <f t="array" aca="1" ref="I75" ca="1">ROUND(INDIRECT(ADDRESS(ROW(),COLUMN()-1))*(1+$H$2),0)</f>
        <v>0</v>
      </c>
      <c r="J75" s="24">
        <f ca="1">SUM(E75:INDIRECT(ADDRESS(ROW(),COLUMN()-1)))</f>
        <v>0</v>
      </c>
      <c r="L75" s="35"/>
    </row>
    <row r="76" spans="1:12" ht="12.95" customHeight="1" x14ac:dyDescent="0.2">
      <c r="A76" s="20"/>
      <c r="B76" s="346" t="s">
        <v>153</v>
      </c>
      <c r="C76" s="743" t="s">
        <v>140</v>
      </c>
      <c r="D76" s="743"/>
      <c r="E76" s="348">
        <v>0</v>
      </c>
      <c r="F76" s="230">
        <v>0</v>
      </c>
      <c r="G76" s="230">
        <v>0</v>
      </c>
      <c r="H76" s="230">
        <v>0</v>
      </c>
      <c r="I76" s="230">
        <v>0</v>
      </c>
      <c r="J76" s="24">
        <f ca="1">SUM(E76:INDIRECT(ADDRESS(ROW(),COLUMN()-1)))</f>
        <v>0</v>
      </c>
      <c r="K76" s="405" t="str">
        <f>IF(OR($K$6="",$K$6=FALSE),"To add another Sub, copy rows "&amp;ROW(B79)&amp;"-"&amp;ROW(B81)&amp;" and paste ('Insert Copied Rows') in row "&amp;ROW(B82),"")</f>
        <v>To add another Sub, copy rows 79-81 and paste ('Insert Copied Rows') in row 82</v>
      </c>
      <c r="L76" s="158"/>
    </row>
    <row r="77" spans="1:12" ht="12.95" customHeight="1" x14ac:dyDescent="0.2">
      <c r="A77" s="20"/>
      <c r="B77" s="349" t="s">
        <v>141</v>
      </c>
      <c r="C77" s="350"/>
      <c r="D77" s="351"/>
      <c r="E77" s="352">
        <f ca="1">IF(ISNUMBER(OFFSET(E76,0,-1))=TRUE,IF(SUM($E76:E76)&gt;50000,50000-SUM($E77:OFFSET(E77,0,-1)),E76),IF($E76&gt;50000,50000,E76))</f>
        <v>0</v>
      </c>
      <c r="F77" s="352">
        <f ca="1">IF(ISNUMBER(OFFSET(F76,0,-1))=TRUE,IF(SUM($E76:F76)&gt;50000,50000-SUM($E77:OFFSET(F77,0,-1)),F76),IF($E76&gt;50000,50000,F76))</f>
        <v>0</v>
      </c>
      <c r="G77" s="352">
        <f ca="1">IF(ISNUMBER(OFFSET(G76,0,-1))=TRUE,IF(SUM($E76:G76)&gt;50000,50000-SUM($E77:OFFSET(G77,0,-1)),G76),IF($E76&gt;50000,50000,G76))</f>
        <v>0</v>
      </c>
      <c r="H77" s="352">
        <f ca="1">IF(ISNUMBER(OFFSET(H76,0,-1))=TRUE,IF(SUM($E76:H76)&gt;50000,50000-SUM($E77:OFFSET(H77,0,-1)),H76),IF($E76&gt;50000,50000,H76))</f>
        <v>0</v>
      </c>
      <c r="I77" s="352">
        <f ca="1">IF(ISNUMBER(OFFSET(I76,0,-1))=TRUE,IF(SUM($E76:I76)&gt;50000,50000-SUM($E77:OFFSET(I77,0,-1)),I76),IF($E76&gt;50000,50000,I76))</f>
        <v>0</v>
      </c>
      <c r="J77" s="353">
        <f ca="1">SUM(E77:INDIRECT(ADDRESS(ROW(),COLUMN()-1)))</f>
        <v>0</v>
      </c>
      <c r="L77" s="158"/>
    </row>
    <row r="78" spans="1:12" ht="12.95" customHeight="1" x14ac:dyDescent="0.2">
      <c r="A78" s="20"/>
      <c r="B78" s="349" t="s">
        <v>187</v>
      </c>
      <c r="C78" s="351"/>
      <c r="D78" s="351"/>
      <c r="E78" s="354">
        <f ca="1">IF(ISNUMBER(OFFSET(E76,0,-1))=TRUE,IF(SUM($E76:E76)&gt;50000,SUM($E76:E76)-50000-SUM($E78:OFFSET(E78,0,-1)),0),IF($E76&gt;50000,$E76-50000,0))</f>
        <v>0</v>
      </c>
      <c r="F78" s="354">
        <f ca="1">IF(ISNUMBER(OFFSET(F76,0,-1))=TRUE,IF(SUM($E76:F76)&gt;50000,SUM($E76:F76)-50000-SUM($E78:OFFSET(F78,0,-1)),0),IF($E76&gt;50000,$E76-50000,0))</f>
        <v>0</v>
      </c>
      <c r="G78" s="354">
        <f ca="1">IF(ISNUMBER(OFFSET(G76,0,-1))=TRUE,IF(SUM($E76:G76)&gt;50000,SUM($E76:G76)-50000-SUM($E78:OFFSET(G78,0,-1)),0),IF($E76&gt;50000,$E76-50000,0))</f>
        <v>0</v>
      </c>
      <c r="H78" s="354">
        <f ca="1">IF(ISNUMBER(OFFSET(H76,0,-1))=TRUE,IF(SUM($E76:H76)&gt;50000,SUM($E76:H76)-50000-SUM($E78:OFFSET(H78,0,-1)),0),IF($E76&gt;50000,$E76-50000,0))</f>
        <v>0</v>
      </c>
      <c r="I78" s="354">
        <f ca="1">IF(ISNUMBER(OFFSET(I76,0,-1))=TRUE,IF(SUM($E76:I76)&gt;50000,SUM($E76:I76)-50000-SUM($E78:OFFSET(I78,0,-1)),0),IF($E76&gt;50000,$E76-50000,0))</f>
        <v>0</v>
      </c>
      <c r="J78" s="353">
        <f ca="1">SUM(E78:INDIRECT(ADDRESS(ROW(),COLUMN()-1)))</f>
        <v>0</v>
      </c>
      <c r="L78" s="158"/>
    </row>
    <row r="79" spans="1:12" ht="12.95" customHeight="1" x14ac:dyDescent="0.2">
      <c r="A79" s="20"/>
      <c r="B79" s="346" t="s">
        <v>153</v>
      </c>
      <c r="C79" s="743" t="s">
        <v>142</v>
      </c>
      <c r="D79" s="743"/>
      <c r="E79" s="348">
        <v>0</v>
      </c>
      <c r="F79" s="230">
        <v>0</v>
      </c>
      <c r="G79" s="230">
        <v>0</v>
      </c>
      <c r="H79" s="230">
        <v>0</v>
      </c>
      <c r="I79" s="230">
        <v>0</v>
      </c>
      <c r="J79" s="24">
        <f ca="1">SUM(E79:INDIRECT(ADDRESS(ROW(),COLUMN()-1)))</f>
        <v>0</v>
      </c>
      <c r="L79" s="158"/>
    </row>
    <row r="80" spans="1:12" ht="12.95" customHeight="1" x14ac:dyDescent="0.2">
      <c r="A80" s="20"/>
      <c r="B80" s="349" t="s">
        <v>141</v>
      </c>
      <c r="C80" s="350"/>
      <c r="D80" s="351"/>
      <c r="E80" s="352">
        <f ca="1">IF(ISNUMBER(OFFSET(E79,0,-1))=TRUE,IF(SUM($E79:E79)&gt;50000,50000-SUM($E80:OFFSET(E80,0,-1)),E79),IF($E79&gt;50000,50000,E79))</f>
        <v>0</v>
      </c>
      <c r="F80" s="352">
        <f ca="1">IF(ISNUMBER(OFFSET(F79,0,-1))=TRUE,IF(SUM($E79:F79)&gt;50000,50000-SUM($E80:OFFSET(F80,0,-1)),F79),IF($E79&gt;50000,50000,F79))</f>
        <v>0</v>
      </c>
      <c r="G80" s="352">
        <f ca="1">IF(ISNUMBER(OFFSET(G79,0,-1))=TRUE,IF(SUM($E79:G79)&gt;50000,50000-SUM($E80:OFFSET(G80,0,-1)),G79),IF($E79&gt;50000,50000,G79))</f>
        <v>0</v>
      </c>
      <c r="H80" s="352">
        <f ca="1">IF(ISNUMBER(OFFSET(H79,0,-1))=TRUE,IF(SUM($E79:H79)&gt;50000,50000-SUM($E80:OFFSET(H80,0,-1)),H79),IF($E79&gt;50000,50000,H79))</f>
        <v>0</v>
      </c>
      <c r="I80" s="352">
        <f ca="1">IF(ISNUMBER(OFFSET(I79,0,-1))=TRUE,IF(SUM($E79:I79)&gt;50000,50000-SUM($E80:OFFSET(I80,0,-1)),I79),IF($E79&gt;50000,50000,I79))</f>
        <v>0</v>
      </c>
      <c r="J80" s="353">
        <f ca="1">SUM(E80:INDIRECT(ADDRESS(ROW(),COLUMN()-1)))</f>
        <v>0</v>
      </c>
      <c r="L80" s="158"/>
    </row>
    <row r="81" spans="1:12" ht="12.95" customHeight="1" x14ac:dyDescent="0.2">
      <c r="A81" s="20"/>
      <c r="B81" s="349" t="s">
        <v>187</v>
      </c>
      <c r="C81" s="351"/>
      <c r="D81" s="351"/>
      <c r="E81" s="354">
        <f ca="1">IF(ISNUMBER(OFFSET(E79,0,-1))=TRUE,IF(SUM($E79:E79)&gt;50000,SUM($E79:E79)-50000-SUM($E81:OFFSET(E81,0,-1)),0),IF($E79&gt;50000,$E79-50000,0))</f>
        <v>0</v>
      </c>
      <c r="F81" s="354">
        <f ca="1">IF(ISNUMBER(OFFSET(F79,0,-1))=TRUE,IF(SUM($E79:F79)&gt;50000,SUM($E79:F79)-50000-SUM($E81:OFFSET(F81,0,-1)),0),IF($E79&gt;50000,$E79-50000,0))</f>
        <v>0</v>
      </c>
      <c r="G81" s="354">
        <f ca="1">IF(ISNUMBER(OFFSET(G79,0,-1))=TRUE,IF(SUM($E79:G79)&gt;50000,SUM($E79:G79)-50000-SUM($E81:OFFSET(G81,0,-1)),0),IF($E79&gt;50000,$E79-50000,0))</f>
        <v>0</v>
      </c>
      <c r="H81" s="354">
        <f ca="1">IF(ISNUMBER(OFFSET(H79,0,-1))=TRUE,IF(SUM($E79:H79)&gt;50000,SUM($E79:H79)-50000-SUM($E81:OFFSET(H81,0,-1)),0),IF($E79&gt;50000,$E79-50000,0))</f>
        <v>0</v>
      </c>
      <c r="I81" s="354">
        <f ca="1">IF(ISNUMBER(OFFSET(I79,0,-1))=TRUE,IF(SUM($E79:I79)&gt;50000,SUM($E79:I79)-50000-SUM($E81:OFFSET(I81,0,-1)),0),IF($E79&gt;50000,$E79-50000,0))</f>
        <v>0</v>
      </c>
      <c r="J81" s="353">
        <f ca="1">SUM(E81:INDIRECT(ADDRESS(ROW(),COLUMN()-1)))</f>
        <v>0</v>
      </c>
      <c r="L81" s="158"/>
    </row>
    <row r="82" spans="1:12" ht="9" customHeight="1" x14ac:dyDescent="0.2">
      <c r="A82" s="20"/>
      <c r="B82" s="355"/>
      <c r="C82" s="42"/>
      <c r="D82" s="42"/>
      <c r="E82" s="356"/>
      <c r="F82" s="357"/>
      <c r="G82" s="357"/>
      <c r="H82" s="357"/>
      <c r="I82" s="357"/>
      <c r="J82" s="358"/>
      <c r="L82" s="158"/>
    </row>
    <row r="83" spans="1:12" ht="12.95" customHeight="1" x14ac:dyDescent="0.2">
      <c r="A83" s="20"/>
      <c r="B83" s="346" t="s">
        <v>61</v>
      </c>
      <c r="C83" s="23"/>
      <c r="D83" s="23"/>
      <c r="E83" s="2"/>
      <c r="F83" s="119"/>
      <c r="G83" s="119"/>
      <c r="H83" s="119"/>
      <c r="I83" s="119"/>
      <c r="J83" s="24"/>
      <c r="K83" s="405" t="str">
        <f>IF(OR($K$6="",$K$6=FALSE),"To add another Other Cost, copy row "&amp;ROW(B85)&amp;" and paste ('Insert Copied Rows') in row "&amp;ROW(B95),"")</f>
        <v>To add another Other Cost, copy row 85 and paste ('Insert Copied Rows') in row 95</v>
      </c>
    </row>
    <row r="84" spans="1:12" ht="12.95" customHeight="1" x14ac:dyDescent="0.2">
      <c r="A84" s="20"/>
      <c r="B84" s="359" t="s">
        <v>83</v>
      </c>
      <c r="C84" s="301"/>
      <c r="D84" s="301"/>
      <c r="E84" s="360">
        <f ca="1">ROUND(SUMIF($B$28:$B$43,$AR$5,E$29:E$43)*$Z$1,0)+ROUND(SUMIF($B$28:$B$43,$AS$5,E$29:E$43)*$Z$1,0)</f>
        <v>0</v>
      </c>
      <c r="F84" s="360">
        <f ca="1">ROUND(SUMIF($B$28:$B$43,$AR$5,F$29:F$43)*$Z$1,0)+ROUND(SUMIF($B$28:$B$43,$AS$5,F$29:F$43)*$Z$1,0)</f>
        <v>0</v>
      </c>
      <c r="G84" s="360">
        <f ca="1">ROUND(SUMIF($B$28:$B$43,$AR$5,G$29:G$43)*$Z$1,0)+ROUND(SUMIF($B$28:$B$43,$AS$5,G$29:G$43)*$Z$1,0)</f>
        <v>0</v>
      </c>
      <c r="H84" s="360">
        <f ca="1">ROUND(SUMIF($B$28:$B$43,$AR$5,H$29:H$43)*$Z$1,0)+ROUND(SUMIF($B$28:$B$43,$AS$5,H$29:H$43)*$Z$1,0)</f>
        <v>0</v>
      </c>
      <c r="I84" s="360">
        <f ca="1">ROUND(SUMIF($B$28:$B$43,$AR$5,I$29:I$43)*$Z$1,0)+ROUND(SUMIF($B$28:$B$43,$AS$5,I$29:I$43)*$Z$1,0)</f>
        <v>0</v>
      </c>
      <c r="J84" s="298">
        <f ca="1">SUM(E84:INDIRECT(ADDRESS(ROW(),COLUMN()-1)))</f>
        <v>0</v>
      </c>
    </row>
    <row r="85" spans="1:12" ht="12.95" customHeight="1" x14ac:dyDescent="0.2">
      <c r="A85" s="20"/>
      <c r="B85" s="744" t="s">
        <v>101</v>
      </c>
      <c r="C85" s="744"/>
      <c r="D85" s="406"/>
      <c r="E85" s="119">
        <f>'Direct costs Detail'!D84</f>
        <v>0</v>
      </c>
      <c r="F85" s="2" cm="1">
        <f t="array" aca="1" ref="F85" ca="1">ROUND(INDIRECT(ADDRESS(ROW(),COLUMN()-1))*(1+$H$2),0)</f>
        <v>0</v>
      </c>
      <c r="G85" s="2" cm="1">
        <f t="array" aca="1" ref="G85" ca="1">ROUND(INDIRECT(ADDRESS(ROW(),COLUMN()-1))*(1+$H$2),0)</f>
        <v>0</v>
      </c>
      <c r="H85" s="2" cm="1">
        <f t="array" aca="1" ref="H85" ca="1">ROUND(INDIRECT(ADDRESS(ROW(),COLUMN()-1))*(1+$H$2),0)</f>
        <v>0</v>
      </c>
      <c r="I85" s="2" cm="1">
        <f t="array" aca="1" ref="I85" ca="1">ROUND(INDIRECT(ADDRESS(ROW(),COLUMN()-1))*(1+$H$2),0)</f>
        <v>0</v>
      </c>
      <c r="J85" s="24">
        <f ca="1">SUM(E85:INDIRECT(ADDRESS(ROW(),COLUMN()-1)))</f>
        <v>0</v>
      </c>
      <c r="K85" s="405"/>
      <c r="L85" s="35"/>
    </row>
    <row r="86" spans="1:12" ht="12.95" customHeight="1" x14ac:dyDescent="0.2">
      <c r="A86" s="20"/>
      <c r="B86" s="744" t="s">
        <v>100</v>
      </c>
      <c r="C86" s="744"/>
      <c r="D86" s="406"/>
      <c r="E86" s="119">
        <v>0</v>
      </c>
      <c r="F86" s="2" cm="1">
        <f t="array" aca="1" ref="F86" ca="1">ROUND(INDIRECT(ADDRESS(ROW(),COLUMN()-1))*(1+$H$2),0)</f>
        <v>0</v>
      </c>
      <c r="G86" s="2" cm="1">
        <f t="array" aca="1" ref="G86" ca="1">ROUND(INDIRECT(ADDRESS(ROW(),COLUMN()-1))*(1+$H$2),0)</f>
        <v>0</v>
      </c>
      <c r="H86" s="2" cm="1">
        <f t="array" aca="1" ref="H86" ca="1">ROUND(INDIRECT(ADDRESS(ROW(),COLUMN()-1))*(1+$H$2),0)</f>
        <v>0</v>
      </c>
      <c r="I86" s="2" cm="1">
        <f t="array" aca="1" ref="I86" ca="1">ROUND(INDIRECT(ADDRESS(ROW(),COLUMN()-1))*(1+$H$2),0)</f>
        <v>0</v>
      </c>
      <c r="J86" s="24">
        <f ca="1">SUM(E86:INDIRECT(ADDRESS(ROW(),COLUMN()-1)))</f>
        <v>0</v>
      </c>
      <c r="K86" s="405"/>
      <c r="L86" s="35"/>
    </row>
    <row r="87" spans="1:12" ht="12.95" customHeight="1" x14ac:dyDescent="0.2">
      <c r="A87" s="20"/>
      <c r="B87" s="744" t="s">
        <v>118</v>
      </c>
      <c r="C87" s="744"/>
      <c r="D87" s="406"/>
      <c r="E87" s="119">
        <v>0</v>
      </c>
      <c r="F87" s="2" cm="1">
        <f t="array" aca="1" ref="F87" ca="1">ROUND(INDIRECT(ADDRESS(ROW(),COLUMN()-1))*(1+$H$2),0)</f>
        <v>0</v>
      </c>
      <c r="G87" s="2" cm="1">
        <f t="array" aca="1" ref="G87" ca="1">ROUND(INDIRECT(ADDRESS(ROW(),COLUMN()-1))*(1+$H$2),0)</f>
        <v>0</v>
      </c>
      <c r="H87" s="2" cm="1">
        <f t="array" aca="1" ref="H87" ca="1">ROUND(INDIRECT(ADDRESS(ROW(),COLUMN()-1))*(1+$H$2),0)</f>
        <v>0</v>
      </c>
      <c r="I87" s="2" cm="1">
        <f t="array" aca="1" ref="I87" ca="1">ROUND(INDIRECT(ADDRESS(ROW(),COLUMN()-1))*(1+$H$2),0)</f>
        <v>0</v>
      </c>
      <c r="J87" s="24">
        <f ca="1">SUM(E87:INDIRECT(ADDRESS(ROW(),COLUMN()-1)))</f>
        <v>0</v>
      </c>
      <c r="K87" s="405"/>
      <c r="L87" s="35"/>
    </row>
    <row r="88" spans="1:12" ht="12.95" customHeight="1" x14ac:dyDescent="0.2">
      <c r="A88" s="20"/>
      <c r="B88" s="744" t="s">
        <v>120</v>
      </c>
      <c r="C88" s="744"/>
      <c r="D88" s="406"/>
      <c r="E88" s="119">
        <f>'Direct costs Detail'!D90</f>
        <v>0</v>
      </c>
      <c r="F88" s="2" cm="1">
        <f t="array" aca="1" ref="F88" ca="1">ROUND(INDIRECT(ADDRESS(ROW(),COLUMN()-1))*(1+$H$2),0)</f>
        <v>0</v>
      </c>
      <c r="G88" s="2" cm="1">
        <f t="array" aca="1" ref="G88" ca="1">ROUND(INDIRECT(ADDRESS(ROW(),COLUMN()-1))*(1+$H$2),0)</f>
        <v>0</v>
      </c>
      <c r="H88" s="2" cm="1">
        <f t="array" aca="1" ref="H88" ca="1">ROUND(INDIRECT(ADDRESS(ROW(),COLUMN()-1))*(1+$H$2),0)</f>
        <v>0</v>
      </c>
      <c r="I88" s="2" cm="1">
        <f t="array" aca="1" ref="I88" ca="1">ROUND(INDIRECT(ADDRESS(ROW(),COLUMN()-1))*(1+$H$2),0)</f>
        <v>0</v>
      </c>
      <c r="J88" s="24">
        <f ca="1">SUM(E88:INDIRECT(ADDRESS(ROW(),COLUMN()-1)))</f>
        <v>0</v>
      </c>
      <c r="K88" s="405"/>
      <c r="L88" s="35"/>
    </row>
    <row r="89" spans="1:12" ht="12.95" customHeight="1" x14ac:dyDescent="0.2">
      <c r="A89" s="20"/>
      <c r="B89" s="744" t="s">
        <v>119</v>
      </c>
      <c r="C89" s="744"/>
      <c r="D89" s="406"/>
      <c r="E89" s="119">
        <v>0</v>
      </c>
      <c r="F89" s="2" cm="1">
        <f t="array" aca="1" ref="F89" ca="1">ROUND(INDIRECT(ADDRESS(ROW(),COLUMN()-1))*(1+$H$2),0)</f>
        <v>0</v>
      </c>
      <c r="G89" s="2" cm="1">
        <f t="array" aca="1" ref="G89" ca="1">ROUND(INDIRECT(ADDRESS(ROW(),COLUMN()-1))*(1+$H$2),0)</f>
        <v>0</v>
      </c>
      <c r="H89" s="2" cm="1">
        <f t="array" aca="1" ref="H89" ca="1">ROUND(INDIRECT(ADDRESS(ROW(),COLUMN()-1))*(1+$H$2),0)</f>
        <v>0</v>
      </c>
      <c r="I89" s="2" cm="1">
        <f t="array" aca="1" ref="I89" ca="1">ROUND(INDIRECT(ADDRESS(ROW(),COLUMN()-1))*(1+$H$2),0)</f>
        <v>0</v>
      </c>
      <c r="J89" s="24">
        <f ca="1">SUM(E89:INDIRECT(ADDRESS(ROW(),COLUMN()-1)))</f>
        <v>0</v>
      </c>
      <c r="K89" s="405"/>
      <c r="L89" s="35"/>
    </row>
    <row r="90" spans="1:12" ht="12.95" customHeight="1" x14ac:dyDescent="0.2">
      <c r="A90" s="20"/>
      <c r="B90" s="744" t="s">
        <v>98</v>
      </c>
      <c r="C90" s="744"/>
      <c r="D90" s="406"/>
      <c r="E90" s="119">
        <v>0</v>
      </c>
      <c r="F90" s="2" cm="1">
        <f t="array" aca="1" ref="F90" ca="1">ROUND(INDIRECT(ADDRESS(ROW(),COLUMN()-1))*(1+$H$2),0)</f>
        <v>0</v>
      </c>
      <c r="G90" s="2" cm="1">
        <f t="array" aca="1" ref="G90" ca="1">ROUND(INDIRECT(ADDRESS(ROW(),COLUMN()-1))*(1+$H$2),0)</f>
        <v>0</v>
      </c>
      <c r="H90" s="2" cm="1">
        <f t="array" aca="1" ref="H90" ca="1">ROUND(INDIRECT(ADDRESS(ROW(),COLUMN()-1))*(1+$H$2),0)</f>
        <v>0</v>
      </c>
      <c r="I90" s="2" cm="1">
        <f t="array" aca="1" ref="I90" ca="1">ROUND(INDIRECT(ADDRESS(ROW(),COLUMN()-1))*(1+$H$2),0)</f>
        <v>0</v>
      </c>
      <c r="J90" s="24">
        <f ca="1">SUM(E90:INDIRECT(ADDRESS(ROW(),COLUMN()-1)))</f>
        <v>0</v>
      </c>
      <c r="K90" s="405"/>
      <c r="L90" s="35"/>
    </row>
    <row r="91" spans="1:12" ht="12.95" customHeight="1" x14ac:dyDescent="0.2">
      <c r="A91" s="20"/>
      <c r="B91" s="744" t="s">
        <v>123</v>
      </c>
      <c r="C91" s="744"/>
      <c r="D91" s="406"/>
      <c r="E91" s="119">
        <v>0</v>
      </c>
      <c r="F91" s="2" cm="1">
        <f t="array" aca="1" ref="F91" ca="1">ROUND(INDIRECT(ADDRESS(ROW(),COLUMN()-1))*(1+$H$2),0)</f>
        <v>0</v>
      </c>
      <c r="G91" s="2" cm="1">
        <f t="array" aca="1" ref="G91" ca="1">ROUND(INDIRECT(ADDRESS(ROW(),COLUMN()-1))*(1+$H$2),0)</f>
        <v>0</v>
      </c>
      <c r="H91" s="2" cm="1">
        <f t="array" aca="1" ref="H91" ca="1">ROUND(INDIRECT(ADDRESS(ROW(),COLUMN()-1))*(1+$H$2),0)</f>
        <v>0</v>
      </c>
      <c r="I91" s="2" cm="1">
        <f t="array" aca="1" ref="I91" ca="1">ROUND(INDIRECT(ADDRESS(ROW(),COLUMN()-1))*(1+$H$2),0)</f>
        <v>0</v>
      </c>
      <c r="J91" s="24">
        <f ca="1">SUM(E91:INDIRECT(ADDRESS(ROW(),COLUMN()-1)))</f>
        <v>0</v>
      </c>
      <c r="K91" s="405"/>
      <c r="L91" s="35"/>
    </row>
    <row r="92" spans="1:12" ht="12.95" customHeight="1" x14ac:dyDescent="0.2">
      <c r="A92" s="20"/>
      <c r="B92" s="744" t="s">
        <v>99</v>
      </c>
      <c r="C92" s="744"/>
      <c r="D92" s="406"/>
      <c r="E92" s="119">
        <v>0</v>
      </c>
      <c r="F92" s="2" cm="1">
        <f t="array" aca="1" ref="F92" ca="1">ROUND(INDIRECT(ADDRESS(ROW(),COLUMN()-1))*(1+$H$2),0)</f>
        <v>0</v>
      </c>
      <c r="G92" s="2" cm="1">
        <f t="array" aca="1" ref="G92" ca="1">ROUND(INDIRECT(ADDRESS(ROW(),COLUMN()-1))*(1+$H$2),0)</f>
        <v>0</v>
      </c>
      <c r="H92" s="2" cm="1">
        <f t="array" aca="1" ref="H92" ca="1">ROUND(INDIRECT(ADDRESS(ROW(),COLUMN()-1))*(1+$H$2),0)</f>
        <v>0</v>
      </c>
      <c r="I92" s="2" cm="1">
        <f t="array" aca="1" ref="I92" ca="1">ROUND(INDIRECT(ADDRESS(ROW(),COLUMN()-1))*(1+$H$2),0)</f>
        <v>0</v>
      </c>
      <c r="J92" s="24">
        <f ca="1">SUM(E92:INDIRECT(ADDRESS(ROW(),COLUMN()-1)))</f>
        <v>0</v>
      </c>
      <c r="K92" s="405"/>
      <c r="L92" s="35"/>
    </row>
    <row r="93" spans="1:12" ht="12.95" customHeight="1" x14ac:dyDescent="0.2">
      <c r="A93" s="20"/>
      <c r="B93" s="744" t="s">
        <v>84</v>
      </c>
      <c r="C93" s="744"/>
      <c r="D93" s="406"/>
      <c r="E93" s="119">
        <v>0</v>
      </c>
      <c r="F93" s="2" cm="1">
        <f t="array" aca="1" ref="F93" ca="1">ROUND(INDIRECT(ADDRESS(ROW(),COLUMN()-1))*(1+$H$2),0)</f>
        <v>0</v>
      </c>
      <c r="G93" s="2" cm="1">
        <f t="array" aca="1" ref="G93" ca="1">ROUND(INDIRECT(ADDRESS(ROW(),COLUMN()-1))*(1+$H$2),0)</f>
        <v>0</v>
      </c>
      <c r="H93" s="2" cm="1">
        <f t="array" aca="1" ref="H93" ca="1">ROUND(INDIRECT(ADDRESS(ROW(),COLUMN()-1))*(1+$H$2),0)</f>
        <v>0</v>
      </c>
      <c r="I93" s="2" cm="1">
        <f t="array" aca="1" ref="I93" ca="1">ROUND(INDIRECT(ADDRESS(ROW(),COLUMN()-1))*(1+$H$2),0)</f>
        <v>0</v>
      </c>
      <c r="J93" s="24">
        <f ca="1">SUM(E93:INDIRECT(ADDRESS(ROW(),COLUMN()-1)))</f>
        <v>0</v>
      </c>
      <c r="K93" s="405"/>
      <c r="L93" s="35"/>
    </row>
    <row r="94" spans="1:12" ht="12.95" customHeight="1" x14ac:dyDescent="0.2">
      <c r="A94" s="20"/>
      <c r="B94" s="744" t="s">
        <v>61</v>
      </c>
      <c r="C94" s="744"/>
      <c r="D94" s="406"/>
      <c r="E94" s="119">
        <f>'Direct costs Detail'!D93</f>
        <v>0</v>
      </c>
      <c r="F94" s="2" cm="1">
        <f t="array" aca="1" ref="F94" ca="1">ROUND(INDIRECT(ADDRESS(ROW(),COLUMN()-1))*(1+$H$2),0)</f>
        <v>0</v>
      </c>
      <c r="G94" s="2" cm="1">
        <f t="array" aca="1" ref="G94" ca="1">ROUND(INDIRECT(ADDRESS(ROW(),COLUMN()-1))*(1+$H$2),0)</f>
        <v>0</v>
      </c>
      <c r="H94" s="2" cm="1">
        <f t="array" aca="1" ref="H94" ca="1">ROUND(INDIRECT(ADDRESS(ROW(),COLUMN()-1))*(1+$H$2),0)</f>
        <v>0</v>
      </c>
      <c r="I94" s="2" cm="1">
        <f t="array" aca="1" ref="I94" ca="1">ROUND(INDIRECT(ADDRESS(ROW(),COLUMN()-1))*(1+$H$2),0)</f>
        <v>0</v>
      </c>
      <c r="J94" s="24">
        <f ca="1">SUM(E94:INDIRECT(ADDRESS(ROW(),COLUMN()-1)))</f>
        <v>0</v>
      </c>
      <c r="K94" s="405"/>
      <c r="L94" s="35"/>
    </row>
    <row r="95" spans="1:12" ht="9" customHeight="1" x14ac:dyDescent="0.2">
      <c r="A95" s="20"/>
      <c r="B95" s="361"/>
      <c r="C95" s="23"/>
      <c r="D95" s="362"/>
      <c r="E95" s="119"/>
      <c r="F95" s="119"/>
      <c r="G95" s="119"/>
      <c r="H95" s="119"/>
      <c r="I95" s="119"/>
      <c r="J95" s="24"/>
      <c r="L95" s="35"/>
    </row>
    <row r="96" spans="1:12" ht="12.95" customHeight="1" x14ac:dyDescent="0.2">
      <c r="A96" s="20"/>
      <c r="B96" s="363" t="s">
        <v>111</v>
      </c>
      <c r="C96" s="364"/>
      <c r="D96" s="364"/>
      <c r="E96" s="365">
        <f ca="1">SUM(E84:E95)</f>
        <v>0</v>
      </c>
      <c r="F96" s="365">
        <f ca="1">SUM(F84:F95)</f>
        <v>0</v>
      </c>
      <c r="G96" s="365">
        <f ca="1">SUM(G84:G95)</f>
        <v>0</v>
      </c>
      <c r="H96" s="365">
        <f ca="1">SUM(H84:H95)</f>
        <v>0</v>
      </c>
      <c r="I96" s="365">
        <f ca="1">SUM(I84:I95)</f>
        <v>0</v>
      </c>
      <c r="J96" s="366">
        <f ca="1">SUM(E96:INDIRECT(ADDRESS(ROW(),COLUMN()-1)))</f>
        <v>0</v>
      </c>
      <c r="L96" s="35"/>
    </row>
    <row r="97" spans="1:12" ht="4.5" customHeight="1" x14ac:dyDescent="0.2">
      <c r="A97" s="20"/>
      <c r="B97" s="367"/>
      <c r="C97" s="162"/>
      <c r="D97" s="162"/>
      <c r="E97" s="368"/>
      <c r="F97" s="368"/>
      <c r="G97" s="368"/>
      <c r="H97" s="368"/>
      <c r="I97" s="368"/>
      <c r="J97" s="228"/>
      <c r="L97" s="35"/>
    </row>
    <row r="98" spans="1:12" ht="12.95" customHeight="1" thickBot="1" x14ac:dyDescent="0.25">
      <c r="A98" s="46"/>
      <c r="B98" s="326" t="s">
        <v>13</v>
      </c>
      <c r="C98" s="305"/>
      <c r="D98" s="327"/>
      <c r="E98" s="369">
        <f ca="1">SUM(E71:E95)-SUMIF($B$71:$B$95,$B$78,E71:E95)-SUMIF($B$71:$B$95,$B$77,E71:E95)</f>
        <v>0</v>
      </c>
      <c r="F98" s="369">
        <f ca="1">SUM(F71:F95)-SUMIF($B$71:$B$95,$B$78,F71:F95)-SUMIF($B$71:$B$95,$B$77,F71:F95)</f>
        <v>0</v>
      </c>
      <c r="G98" s="369">
        <f ca="1">SUM(G71:G95)-SUMIF($B$71:$B$95,$B$78,G71:G95)-SUMIF($B$71:$B$95,$B$77,G71:G95)</f>
        <v>0</v>
      </c>
      <c r="H98" s="369">
        <f ca="1">SUM(H71:H95)-SUMIF($B$71:$B$95,$B$78,H71:H95)-SUMIF($B$71:$B$95,$B$77,H71:H95)</f>
        <v>0</v>
      </c>
      <c r="I98" s="369">
        <f ca="1">SUM(I71:I95)-SUMIF($B$71:$B$95,$B$78,I71:I95)-SUMIF($B$71:$B$95,$B$77,I71:I95)</f>
        <v>0</v>
      </c>
      <c r="J98" s="307">
        <f ca="1">SUM(E98:INDIRECT(ADDRESS(ROW(),COLUMN()-1)))</f>
        <v>0</v>
      </c>
    </row>
    <row r="99" spans="1:12" ht="4.5" customHeight="1" thickBot="1" x14ac:dyDescent="0.25">
      <c r="A99" s="316"/>
      <c r="B99" s="370"/>
      <c r="C99" s="308"/>
      <c r="D99" s="318"/>
      <c r="E99" s="76"/>
      <c r="F99" s="76"/>
      <c r="G99" s="76"/>
      <c r="H99" s="76"/>
      <c r="I99" s="76"/>
      <c r="J99" s="82"/>
    </row>
    <row r="100" spans="1:12" ht="12.95" customHeight="1" x14ac:dyDescent="0.2">
      <c r="A100" s="285" t="s">
        <v>7</v>
      </c>
      <c r="B100" s="339" t="s">
        <v>8</v>
      </c>
      <c r="C100" s="337"/>
      <c r="D100" s="329"/>
      <c r="E100" s="371">
        <f ca="1">E50+E56+E58+E59+E68+E98</f>
        <v>0</v>
      </c>
      <c r="F100" s="371">
        <f ca="1">F50+F56+F58+F59+F68+F98</f>
        <v>0</v>
      </c>
      <c r="G100" s="371">
        <f ca="1">G50+G56+G58+G59+G68+G98</f>
        <v>0</v>
      </c>
      <c r="H100" s="371">
        <f ca="1">H50+H56+H58+H59+H68+H98</f>
        <v>0</v>
      </c>
      <c r="I100" s="371">
        <f ca="1">I50+I56+I58+I59+I68+I98</f>
        <v>0</v>
      </c>
      <c r="J100" s="372">
        <f ca="1">SUM(E100:INDIRECT(ADDRESS(ROW(),COLUMN()-1)))</f>
        <v>0</v>
      </c>
    </row>
    <row r="101" spans="1:12" ht="12.95" customHeight="1" x14ac:dyDescent="0.2">
      <c r="A101" s="20"/>
      <c r="B101" s="373" t="str">
        <f>IF(C4="","",IF(C4=AF1,"MTDC:",IF(C4=AF2,"TDC:","Other:")))</f>
        <v>MTDC:</v>
      </c>
      <c r="C101" s="374" t="s">
        <v>34</v>
      </c>
      <c r="D101" s="375"/>
      <c r="E101" s="376">
        <f ca="1">IF($C$4="",0,IF($C$4=$AF$1,E100-E56-E68-E75-SUMIF($B$71:$B$85,$B$78,E71:E85)-E84-SUMIF($B$85:$B$95,$AW$2,E85:E95)-SUMIF($B$85:$B$95,$AX$2,E85:E95),E100-E84))</f>
        <v>0</v>
      </c>
      <c r="F101" s="376">
        <f ca="1">IF($C$4="",0,IF($C$4=$AF$1,F100-F56-F68-F75-SUMIF($B$71:$B$85,$B$78,F71:F85)-F84-SUMIF($B$85:$B$95,$AW$2,F85:F95)-SUMIF($B$85:$B$95,$AX$2,F85:F95),F100-F84))</f>
        <v>0</v>
      </c>
      <c r="G101" s="376">
        <f ca="1">IF($C$4="",0,IF($C$4=$AF$1,G100-G56-G68-G75-SUMIF($B$71:$B$85,$B$78,G71:G85)-G84-SUMIF($B$85:$B$95,$AW$2,G85:G95)-SUMIF($B$85:$B$95,$AX$2,G85:G95),G100-G84))</f>
        <v>0</v>
      </c>
      <c r="H101" s="376">
        <f ca="1">IF($C$4="",0,IF($C$4=$AF$1,H100-H56-H68-H75-SUMIF($B$71:$B$85,$B$78,H71:H85)-H84-SUMIF($B$85:$B$95,$AW$2,H85:H95)-SUMIF($B$85:$B$95,$AX$2,H85:H95),H100-H84))</f>
        <v>0</v>
      </c>
      <c r="I101" s="376">
        <f ca="1">IF($C$4="",0,IF($C$4=$AF$1,I100-I56-I68-I75-SUMIF($B$71:$B$85,$B$78,I71:I85)-I84-SUMIF($B$85:$B$95,$AW$2,I85:I95)-SUMIF($B$85:$B$95,$AX$2,I85:I95),I100-I84))</f>
        <v>0</v>
      </c>
      <c r="J101" s="353">
        <f ca="1">SUM(E101:INDIRECT(ADDRESS(ROW(),COLUMN()-1)))</f>
        <v>0</v>
      </c>
    </row>
    <row r="102" spans="1:12" ht="12.95" customHeight="1" x14ac:dyDescent="0.2">
      <c r="A102" s="20"/>
      <c r="C102" s="42"/>
      <c r="D102" s="42"/>
      <c r="E102" s="44"/>
      <c r="F102" s="44"/>
      <c r="G102" s="44"/>
      <c r="H102" s="44"/>
      <c r="I102" s="44"/>
      <c r="J102" s="45"/>
    </row>
    <row r="103" spans="1:12" ht="12.95" customHeight="1" x14ac:dyDescent="0.2">
      <c r="A103" s="20" t="s">
        <v>89</v>
      </c>
      <c r="B103" s="377" t="s">
        <v>92</v>
      </c>
      <c r="C103" s="378"/>
      <c r="D103" s="301"/>
      <c r="E103" s="379" t="str">
        <f ca="1">IF($C$3="TBD","TBD",IF(E100=0,"TBD",ROUND($C$3*E101,0)))</f>
        <v>TBD</v>
      </c>
      <c r="F103" s="379" t="str">
        <f ca="1">IF($C$3="TBD","TBD",IF(F100=0,"TBD",ROUND($C$3*F101,0)))</f>
        <v>TBD</v>
      </c>
      <c r="G103" s="379" t="str">
        <f ca="1">IF($C$3="TBD","TBD",IF(G100=0,"TBD",ROUND($C$3*G101,0)))</f>
        <v>TBD</v>
      </c>
      <c r="H103" s="379" t="str">
        <f ca="1">IF($C$3="TBD","TBD",IF(H100=0,"TBD",ROUND($C$3*H101,0)))</f>
        <v>TBD</v>
      </c>
      <c r="I103" s="379" t="str">
        <f ca="1">IF($C$3="TBD","TBD",IF(I100=0,"TBD",ROUND($C$3*I101,0)))</f>
        <v>TBD</v>
      </c>
      <c r="J103" s="380">
        <f ca="1">SUM(E103:INDIRECT(ADDRESS(ROW(),COLUMN()-1)))</f>
        <v>0</v>
      </c>
    </row>
    <row r="104" spans="1:12" ht="12.95" customHeight="1" x14ac:dyDescent="0.2">
      <c r="A104" s="20"/>
      <c r="C104" s="23"/>
      <c r="D104" s="23"/>
      <c r="E104" s="13"/>
      <c r="F104" s="13"/>
      <c r="G104" s="13"/>
      <c r="H104" s="13"/>
      <c r="I104" s="13"/>
      <c r="J104" s="24"/>
    </row>
    <row r="105" spans="1:12" ht="12.95" customHeight="1" thickBot="1" x14ac:dyDescent="0.25">
      <c r="A105" s="46" t="s">
        <v>90</v>
      </c>
      <c r="B105" s="326" t="s">
        <v>32</v>
      </c>
      <c r="C105" s="327"/>
      <c r="D105" s="327"/>
      <c r="E105" s="369" t="str">
        <f ca="1">IF($C$3="TBD","TBD",IF(E100=0,"TBD",E103+E100))</f>
        <v>TBD</v>
      </c>
      <c r="F105" s="369" t="str">
        <f ca="1">IF($C$3="TBD","TBD",IF(F100=0,"TBD",F103+F100))</f>
        <v>TBD</v>
      </c>
      <c r="G105" s="369" t="str">
        <f ca="1">IF($C$3="TBD","TBD",IF(G100=0,"TBD",G103+G100))</f>
        <v>TBD</v>
      </c>
      <c r="H105" s="369" t="str">
        <f ca="1">IF($C$3="TBD","TBD",IF(H100=0,"TBD",H103+H100))</f>
        <v>TBD</v>
      </c>
      <c r="I105" s="369" t="str">
        <f ca="1">IF($C$3="TBD","TBD",IF(I100=0,"TBD",I103+I100))</f>
        <v>TBD</v>
      </c>
      <c r="J105" s="307">
        <f ca="1">SUM(E105:INDIRECT(ADDRESS(ROW(),COLUMN()-1)))</f>
        <v>0</v>
      </c>
    </row>
    <row r="106" spans="1:12" ht="12.95" customHeight="1" thickBot="1" x14ac:dyDescent="0.25">
      <c r="A106"/>
      <c r="B106" s="346"/>
      <c r="C106"/>
      <c r="D106"/>
      <c r="E106"/>
      <c r="F106"/>
      <c r="G106"/>
      <c r="H106"/>
      <c r="I106"/>
      <c r="J106"/>
    </row>
    <row r="107" spans="1:12" x14ac:dyDescent="0.2">
      <c r="A107" s="381" t="s">
        <v>143</v>
      </c>
      <c r="B107" s="640"/>
      <c r="C107" s="382"/>
      <c r="D107" s="382"/>
      <c r="E107" s="382"/>
      <c r="F107" s="382"/>
      <c r="G107" s="382"/>
      <c r="H107" s="382"/>
      <c r="I107" s="382"/>
      <c r="J107" s="383"/>
    </row>
    <row r="108" spans="1:12" x14ac:dyDescent="0.2">
      <c r="A108" s="293"/>
      <c r="B108" s="384"/>
      <c r="C108" s="301"/>
      <c r="D108" s="296"/>
      <c r="E108" s="385">
        <f>SUMIFS(E28:E43,$B$28:$B$43,$AP$5)</f>
        <v>0</v>
      </c>
      <c r="F108" s="385">
        <f>SUMIFS(F28:F43,$B$28:$B$43,$AP$5)</f>
        <v>0</v>
      </c>
      <c r="G108" s="385">
        <f>SUMIFS(G28:G43,$B$28:$B$43,$AP$5)</f>
        <v>0</v>
      </c>
      <c r="H108" s="385">
        <f>SUMIFS(H28:H43,$B$28:$B$43,$AP$5)</f>
        <v>0</v>
      </c>
      <c r="I108" s="385">
        <f>SUMIFS(I28:I43,$B$28:$B$43,$AP$5)</f>
        <v>0</v>
      </c>
      <c r="J108" s="386" t="str">
        <f ca="1">IF(E108="","                          -","Sum: "&amp;ROUND(SUM(E108:INDIRECT(ADDRESS(ROW(),COLUMN()-1))),2)&amp;" | Avg: "&amp;ROUND(AVERAGE(E108:INDIRECT(ADDRESS(ROW(),COLUMN()-1))),2))</f>
        <v>Sum: 0 | Avg: 0</v>
      </c>
    </row>
    <row r="109" spans="1:12" x14ac:dyDescent="0.2">
      <c r="A109" s="293"/>
      <c r="B109" s="387" t="s">
        <v>144</v>
      </c>
      <c r="C109" s="388" t="s">
        <v>20</v>
      </c>
      <c r="D109" s="296"/>
      <c r="E109" s="297">
        <f ca="1">SUMIFS(E29:E43,$C29:$C43,"Mo. Salary",OFFSET($B$29:$B$43,-1,0),$AP$5)</f>
        <v>0</v>
      </c>
      <c r="F109" s="297">
        <f ca="1">SUMIFS(F29:F43,$C29:$C43,"Mo. Salary",OFFSET($B$29:$B$43,-1,0),$AP$5)</f>
        <v>0</v>
      </c>
      <c r="G109" s="297">
        <f ca="1">SUMIFS(G29:G43,$C29:$C43,"Mo. Salary",OFFSET($B$29:$B$43,-1,0),$AP$5)</f>
        <v>0</v>
      </c>
      <c r="H109" s="297">
        <f ca="1">SUMIFS(H29:H43,$C29:$C43,"Mo. Salary",OFFSET($B$29:$B$43,-1,0),$AP$5)</f>
        <v>0</v>
      </c>
      <c r="I109" s="297">
        <f ca="1">SUMIFS(I29:I43,$C29:$C43,"Mo. Salary",OFFSET($B$29:$B$43,-1,0),$AP$5)</f>
        <v>0</v>
      </c>
      <c r="J109" s="298">
        <f ca="1">SUM(E109:I109)</f>
        <v>0</v>
      </c>
    </row>
    <row r="110" spans="1:12" ht="13.5" thickBot="1" x14ac:dyDescent="0.25">
      <c r="A110" s="293"/>
      <c r="B110" s="389" t="str">
        <f ca="1">"Personnel Count: "&amp;SUM(COUNTIF($B$28:$B$43,$AP$5)*($J$111&gt;0))</f>
        <v>Personnel Count: 0</v>
      </c>
      <c r="C110" s="390" t="s">
        <v>21</v>
      </c>
      <c r="D110" s="391"/>
      <c r="E110" s="392">
        <f ca="1">SUMIFS(E29:E43,$C29:$C43,"Fringe Rate",OFFSET($B$29:$B$43,-2,0),$AP$5)</f>
        <v>0</v>
      </c>
      <c r="F110" s="392">
        <f ca="1">SUMIFS(F29:F43,$C29:$C43,"Fringe Rate",OFFSET($B$29:$B$43,-2,0),$AP$5)</f>
        <v>0</v>
      </c>
      <c r="G110" s="392">
        <f ca="1">SUMIFS(G29:G43,$C29:$C43,"Fringe Rate",OFFSET($B$29:$B$43,-2,0),$AP$5)</f>
        <v>0</v>
      </c>
      <c r="H110" s="392">
        <f ca="1">SUMIFS(H29:H43,$C29:$C43,"Fringe Rate",OFFSET($B$29:$B$43,-2,0),$AP$5)</f>
        <v>0</v>
      </c>
      <c r="I110" s="392">
        <f ca="1">SUMIFS(I29:I43,$C29:$C43,"Fringe Rate",OFFSET($B$29:$B$43,-2,0),$AP$5)</f>
        <v>0</v>
      </c>
      <c r="J110" s="393">
        <f ca="1">SUM(E110:I110)</f>
        <v>0</v>
      </c>
    </row>
    <row r="111" spans="1:12" ht="13.5" thickTop="1" x14ac:dyDescent="0.2">
      <c r="A111" s="293"/>
      <c r="B111" s="384"/>
      <c r="C111" s="394" t="s">
        <v>0</v>
      </c>
      <c r="D111" s="312"/>
      <c r="E111" s="395">
        <f ca="1">SUM(E109:E110)</f>
        <v>0</v>
      </c>
      <c r="F111" s="395">
        <f ca="1">SUM(F109:F110)</f>
        <v>0</v>
      </c>
      <c r="G111" s="395">
        <f ca="1">SUM(G109:G110)</f>
        <v>0</v>
      </c>
      <c r="H111" s="395">
        <f ca="1">SUM(H109:H110)</f>
        <v>0</v>
      </c>
      <c r="I111" s="395">
        <f ca="1">SUM(I109:I110)</f>
        <v>0</v>
      </c>
      <c r="J111" s="380">
        <f ca="1">SUM(E111:I111)</f>
        <v>0</v>
      </c>
    </row>
    <row r="112" spans="1:12" x14ac:dyDescent="0.2">
      <c r="A112" s="293"/>
      <c r="B112" s="384"/>
      <c r="C112" s="301"/>
      <c r="D112" s="296"/>
      <c r="E112" s="385">
        <f>SUMIFS(E28:E43,$B$28:$B$43,$AQ$5)</f>
        <v>0</v>
      </c>
      <c r="F112" s="385">
        <f>SUMIFS(F28:F43,$B$28:$B$43,$AQ$5)</f>
        <v>0</v>
      </c>
      <c r="G112" s="385">
        <f>SUMIFS(G28:G43,$B$28:$B$43,$AQ$5)</f>
        <v>0</v>
      </c>
      <c r="H112" s="385">
        <f>SUMIFS(H28:H43,$B$28:$B$43,$AQ$5)</f>
        <v>0</v>
      </c>
      <c r="I112" s="385">
        <f>SUMIFS(I28:I43,$B$28:$B$43,$AQ$5)</f>
        <v>0</v>
      </c>
      <c r="J112" s="386" t="str">
        <f ca="1">IF(E112="","                          -","Sum: "&amp;ROUND(SUM(E112:INDIRECT(ADDRESS(ROW(),COLUMN()-1))),2)&amp;" | Avg: "&amp;ROUND(AVERAGE(E112:INDIRECT(ADDRESS(ROW(),COLUMN()-1))),2))</f>
        <v>Sum: 0 | Avg: 0</v>
      </c>
    </row>
    <row r="113" spans="1:10" x14ac:dyDescent="0.2">
      <c r="A113" s="293"/>
      <c r="B113" s="387" t="s">
        <v>145</v>
      </c>
      <c r="C113" s="388" t="s">
        <v>20</v>
      </c>
      <c r="D113" s="296"/>
      <c r="E113" s="297">
        <f ca="1">SUMIFS(E29:E43,$C29:$C43,"Mo. Salary",OFFSET($B$29:$B$43,-1,0),$AQ$5)</f>
        <v>0</v>
      </c>
      <c r="F113" s="297">
        <f ca="1">SUMIFS(F29:F43,$C29:$C43,"Mo. Salary",OFFSET($B$29:$B$43,-1,0),$AQ$5)</f>
        <v>0</v>
      </c>
      <c r="G113" s="297">
        <f ca="1">SUMIFS(G29:G43,$C29:$C43,"Mo. Salary",OFFSET($B$29:$B$43,-1,0),$AQ$5)</f>
        <v>0</v>
      </c>
      <c r="H113" s="297">
        <f ca="1">SUMIFS(H29:H43,$C29:$C43,"Mo. Salary",OFFSET($B$29:$B$43,-1,0),$AQ$5)</f>
        <v>0</v>
      </c>
      <c r="I113" s="297">
        <f ca="1">SUMIFS(I29:I43,$C29:$C43,"Mo. Salary",OFFSET($B$29:$B$43,-1,0),$AQ$5)</f>
        <v>0</v>
      </c>
      <c r="J113" s="298">
        <f ca="1">SUM(E113:I113)</f>
        <v>0</v>
      </c>
    </row>
    <row r="114" spans="1:10" ht="13.5" thickBot="1" x14ac:dyDescent="0.25">
      <c r="A114" s="293"/>
      <c r="B114" s="389" t="str">
        <f ca="1">"Personnel Count: "&amp;SUM(COUNTIF($B$28:$B$43,$AQ$5)*($J$115&gt;0))</f>
        <v>Personnel Count: 0</v>
      </c>
      <c r="C114" s="390" t="s">
        <v>21</v>
      </c>
      <c r="D114" s="391"/>
      <c r="E114" s="392">
        <f ca="1">SUMIFS(E29:E43,$C29:$C43,"Fringe Rate",OFFSET($B$29:$B$43,-2,0),$AQ$5)</f>
        <v>0</v>
      </c>
      <c r="F114" s="392">
        <f ca="1">SUMIFS(F29:F43,$C29:$C43,"Fringe Rate",OFFSET($B$29:$B$43,-2,0),$AQ$5)</f>
        <v>0</v>
      </c>
      <c r="G114" s="392">
        <f ca="1">SUMIFS(G29:G43,$C29:$C43,"Fringe Rate",OFFSET($B$29:$B$43,-2,0),$AQ$5)</f>
        <v>0</v>
      </c>
      <c r="H114" s="392">
        <f ca="1">SUMIFS(H29:H43,$C29:$C43,"Fringe Rate",OFFSET($B$29:$B$43,-2,0),$AQ$5)</f>
        <v>0</v>
      </c>
      <c r="I114" s="392">
        <f ca="1">SUMIFS(I29:I43,$C29:$C43,"Fringe Rate",OFFSET($B$29:$B$43,-2,0),$AQ$5)</f>
        <v>0</v>
      </c>
      <c r="J114" s="393">
        <f ca="1">SUM(E114:I114)</f>
        <v>0</v>
      </c>
    </row>
    <row r="115" spans="1:10" ht="13.5" thickTop="1" x14ac:dyDescent="0.2">
      <c r="A115" s="293"/>
      <c r="B115" s="384"/>
      <c r="C115" s="394" t="s">
        <v>0</v>
      </c>
      <c r="D115" s="312"/>
      <c r="E115" s="395">
        <f ca="1">SUM(E113:E114)</f>
        <v>0</v>
      </c>
      <c r="F115" s="395">
        <f ca="1">SUM(F113:F114)</f>
        <v>0</v>
      </c>
      <c r="G115" s="395">
        <f ca="1">SUM(G113:G114)</f>
        <v>0</v>
      </c>
      <c r="H115" s="395">
        <f ca="1">SUM(H113:H114)</f>
        <v>0</v>
      </c>
      <c r="I115" s="395">
        <f ca="1">SUM(I113:I114)</f>
        <v>0</v>
      </c>
      <c r="J115" s="380">
        <f ca="1">SUM(E115:I115)</f>
        <v>0</v>
      </c>
    </row>
    <row r="116" spans="1:10" x14ac:dyDescent="0.2">
      <c r="A116" s="293"/>
      <c r="B116" s="384"/>
      <c r="C116" s="301"/>
      <c r="D116" s="296"/>
      <c r="E116" s="385">
        <f>SUMIFS(E28:E43,$B$28:$B$43,$AR$5)+SUMIFS(E28:E43,$B$28:$B$43,$AS$5)</f>
        <v>0</v>
      </c>
      <c r="F116" s="385">
        <f>SUMIFS(F28:F43,$B$28:$B$43,$AR$5)+SUMIFS(F28:F43,$B$28:$B$43,$AS$5)</f>
        <v>0</v>
      </c>
      <c r="G116" s="385">
        <f>SUMIFS(G28:G43,$B$28:$B$43,$AR$5)+SUMIFS(G28:G43,$B$28:$B$43,$AS$5)</f>
        <v>0</v>
      </c>
      <c r="H116" s="385">
        <f>SUMIFS(H28:H43,$B$28:$B$43,$AR$5)+SUMIFS(H28:H43,$B$28:$B$43,$AS$5)</f>
        <v>0</v>
      </c>
      <c r="I116" s="385">
        <f>SUMIFS(I28:I43,$B$28:$B$43,$AR$5)+SUMIFS(I28:I43,$B$28:$B$43,$AS$5)</f>
        <v>0</v>
      </c>
      <c r="J116" s="386" t="str">
        <f ca="1">IF(E116="","                          -","Sum: "&amp;ROUND(SUM(E116:INDIRECT(ADDRESS(ROW(),COLUMN()-1))),2)&amp;" | Avg: "&amp;ROUND(AVERAGE(E116:INDIRECT(ADDRESS(ROW(),COLUMN()-1))),2))</f>
        <v>Sum: 0 | Avg: 0</v>
      </c>
    </row>
    <row r="117" spans="1:10" x14ac:dyDescent="0.2">
      <c r="A117" s="293"/>
      <c r="B117" s="387" t="s">
        <v>146</v>
      </c>
      <c r="C117" s="388" t="s">
        <v>20</v>
      </c>
      <c r="D117" s="296"/>
      <c r="E117" s="297">
        <f ca="1">SUMIFS(E29:E43,$C29:$C43,"Mo. Salary",OFFSET($B$29:$B$43,-1,0),$AR$5)+SUMIFS(E29:E43,$C29:$C43,"Mo. Salary",OFFSET($B$29:$B$43,-1,0),$AS$5)</f>
        <v>0</v>
      </c>
      <c r="F117" s="297">
        <f ca="1">SUMIFS(F29:F43,$C29:$C43,"Mo. Salary",OFFSET($B$29:$B$43,-1,0),$AR$5)+SUMIFS(F29:F43,$C29:$C43,"Mo. Salary",OFFSET($B$29:$B$43,-1,0),$AS$5)</f>
        <v>0</v>
      </c>
      <c r="G117" s="297">
        <f ca="1">SUMIFS(G29:G43,$C29:$C43,"Mo. Salary",OFFSET($B$29:$B$43,-1,0),$AR$5)+SUMIFS(G29:G43,$C29:$C43,"Mo. Salary",OFFSET($B$29:$B$43,-1,0),$AS$5)</f>
        <v>0</v>
      </c>
      <c r="H117" s="297">
        <f ca="1">SUMIFS(H29:H43,$C29:$C43,"Mo. Salary",OFFSET($B$29:$B$43,-1,0),$AR$5)+SUMIFS(H29:H43,$C29:$C43,"Mo. Salary",OFFSET($B$29:$B$43,-1,0),$AS$5)</f>
        <v>0</v>
      </c>
      <c r="I117" s="297">
        <f ca="1">SUMIFS(I29:I43,$C29:$C43,"Mo. Salary",OFFSET($B$29:$B$43,-1,0),$AR$5)+SUMIFS(I29:I43,$C29:$C43,"Mo. Salary",OFFSET($B$29:$B$43,-1,0),$AS$5)</f>
        <v>0</v>
      </c>
      <c r="J117" s="298">
        <f ca="1">SUM(E117:I117)</f>
        <v>0</v>
      </c>
    </row>
    <row r="118" spans="1:10" ht="13.5" thickBot="1" x14ac:dyDescent="0.25">
      <c r="A118" s="293"/>
      <c r="B118" s="389" t="str">
        <f ca="1">"Personnel Count: "&amp;SUM(COUNTIF($B$28:$B$43,$AR$5)*($J$119&gt;0)+COUNTIF($B$28:$B$43,$AS$5)*($J$119&gt;0))</f>
        <v>Personnel Count: 0</v>
      </c>
      <c r="C118" s="390" t="s">
        <v>21</v>
      </c>
      <c r="D118" s="391"/>
      <c r="E118" s="392">
        <f ca="1">SUMIFS(E29:E43,$C29:$C43,"Fringe Rate",OFFSET($B$29:$B$43,-2,0),$AR$5)+SUMIFS(E29:E43,$C29:$C43,"Fringe Rate",OFFSET($B$29:$B$43,-2,0),$AS$5)</f>
        <v>0</v>
      </c>
      <c r="F118" s="392">
        <f ca="1">SUMIFS(F29:F43,$C29:$C43,"Fringe Rate",OFFSET($B$29:$B$43,-2,0),$AR$5)+SUMIFS(F29:F43,$C29:$C43,"Fringe Rate",OFFSET($B$29:$B$43,-2,0),$AS$5)</f>
        <v>0</v>
      </c>
      <c r="G118" s="392">
        <f ca="1">SUMIFS(G29:G43,$C29:$C43,"Fringe Rate",OFFSET($B$29:$B$43,-2,0),$AR$5)+SUMIFS(G29:G43,$C29:$C43,"Fringe Rate",OFFSET($B$29:$B$43,-2,0),$AS$5)</f>
        <v>0</v>
      </c>
      <c r="H118" s="392">
        <f ca="1">SUMIFS(H29:H43,$C29:$C43,"Fringe Rate",OFFSET($B$29:$B$43,-2,0),$AR$5)+SUMIFS(H29:H43,$C29:$C43,"Fringe Rate",OFFSET($B$29:$B$43,-2,0),$AS$5)</f>
        <v>0</v>
      </c>
      <c r="I118" s="392">
        <f ca="1">SUMIFS(I29:I43,$C29:$C43,"Fringe Rate",OFFSET($B$29:$B$43,-2,0),$AR$5)+SUMIFS(I29:I43,$C29:$C43,"Fringe Rate",OFFSET($B$29:$B$43,-2,0),$AS$5)</f>
        <v>0</v>
      </c>
      <c r="J118" s="393">
        <f ca="1">SUM(E118:I118)</f>
        <v>0</v>
      </c>
    </row>
    <row r="119" spans="1:10" ht="13.5" thickTop="1" x14ac:dyDescent="0.2">
      <c r="A119" s="293"/>
      <c r="B119" s="384"/>
      <c r="C119" s="394" t="s">
        <v>0</v>
      </c>
      <c r="D119" s="312"/>
      <c r="E119" s="395">
        <f ca="1">SUM(E117:E118)</f>
        <v>0</v>
      </c>
      <c r="F119" s="395">
        <f ca="1">SUM(F117:F118)</f>
        <v>0</v>
      </c>
      <c r="G119" s="395">
        <f ca="1">SUM(G117:G118)</f>
        <v>0</v>
      </c>
      <c r="H119" s="395">
        <f ca="1">SUM(H117:H118)</f>
        <v>0</v>
      </c>
      <c r="I119" s="395">
        <f ca="1">SUM(I117:I118)</f>
        <v>0</v>
      </c>
      <c r="J119" s="380">
        <f ca="1">SUM(E119:I119)</f>
        <v>0</v>
      </c>
    </row>
    <row r="120" spans="1:10" x14ac:dyDescent="0.2">
      <c r="A120" s="293"/>
      <c r="B120" s="384"/>
      <c r="C120" s="301"/>
      <c r="D120" s="296"/>
      <c r="E120" s="385">
        <f>SUMIFS(E28:E43,$B$28:$B$43,$AT$5)+SUMIFS(E28:E43,$B$28:$B$43,$AU$5)</f>
        <v>0</v>
      </c>
      <c r="F120" s="385">
        <f>SUMIFS(F28:F43,$B$28:$B$43,$AT$5)+SUMIFS(F28:F43,$B$28:$B$43,$AU$5)</f>
        <v>0</v>
      </c>
      <c r="G120" s="385">
        <f>SUMIFS(G28:G43,$B$28:$B$43,$AT$5)+SUMIFS(G28:G43,$B$28:$B$43,$AU$5)</f>
        <v>0</v>
      </c>
      <c r="H120" s="385">
        <f>SUMIFS(H28:H43,$B$28:$B$43,$AT$5)+SUMIFS(H28:H43,$B$28:$B$43,$AU$5)</f>
        <v>0</v>
      </c>
      <c r="I120" s="385">
        <f>SUMIFS(I28:I43,$B$28:$B$43,$AT$5)+SUMIFS(I28:I43,$B$28:$B$43,$AU$5)</f>
        <v>0</v>
      </c>
      <c r="J120" s="386" t="str">
        <f ca="1">IF(E120="","                          -","Sum: "&amp;ROUND(SUM(E120:INDIRECT(ADDRESS(ROW(),COLUMN()-1))),2)&amp;" | Avg: "&amp;ROUND(AVERAGE(E120:INDIRECT(ADDRESS(ROW(),COLUMN()-1))),2))</f>
        <v>Sum: 0 | Avg: 0</v>
      </c>
    </row>
    <row r="121" spans="1:10" x14ac:dyDescent="0.2">
      <c r="A121" s="293"/>
      <c r="B121" s="387" t="s">
        <v>147</v>
      </c>
      <c r="C121" s="388" t="s">
        <v>20</v>
      </c>
      <c r="D121" s="296"/>
      <c r="E121" s="297">
        <f ca="1">SUMIFS(E29:E43,$C29:$C43,"Mo. Salary",OFFSET($B$29:$B$43,-1,0),$AT$5)+SUMIFS(E29:E43,$C29:$C43,"Mo. Salary",OFFSET($B$29:$B$43,-1,0),$AU$5)+SUMIFS(E29:E43,$C29:$C43,"Hrly Rate",OFFSET($B$29:$B$43,-1,0),$AT$5)+SUMIFS(E29:E43,$C29:$C43,"Hrly Rate",OFFSET($B$29:$B$43,-1,0),$AU$5)</f>
        <v>0</v>
      </c>
      <c r="F121" s="297">
        <f ca="1">SUMIFS(F29:F43,$C29:$C43,"Mo. Salary",OFFSET($B$29:$B$43,-1,0),$AT$5)+SUMIFS(F29:F43,$C29:$C43,"Mo. Salary",OFFSET($B$29:$B$43,-1,0),$AU$5)+SUMIFS(F29:F43,$C29:$C43,"Hrly Rate",OFFSET($B$29:$B$43,-1,0),$AT$5)+SUMIFS(F29:F43,$C29:$C43,"Hrly Rate",OFFSET($B$29:$B$43,-1,0),$AU$5)</f>
        <v>0</v>
      </c>
      <c r="G121" s="297">
        <f ca="1">SUMIFS(G29:G43,$C29:$C43,"Mo. Salary",OFFSET($B$29:$B$43,-1,0),$AT$5)+SUMIFS(G29:G43,$C29:$C43,"Mo. Salary",OFFSET($B$29:$B$43,-1,0),$AU$5)+SUMIFS(G29:G43,$C29:$C43,"Hrly Rate",OFFSET($B$29:$B$43,-1,0),$AT$5)+SUMIFS(G29:G43,$C29:$C43,"Hrly Rate",OFFSET($B$29:$B$43,-1,0),$AU$5)</f>
        <v>0</v>
      </c>
      <c r="H121" s="297">
        <f ca="1">SUMIFS(H29:H43,$C29:$C43,"Mo. Salary",OFFSET($B$29:$B$43,-1,0),$AT$5)+SUMIFS(H29:H43,$C29:$C43,"Mo. Salary",OFFSET($B$29:$B$43,-1,0),$AU$5)+SUMIFS(H29:H43,$C29:$C43,"Hrly Rate",OFFSET($B$29:$B$43,-1,0),$AT$5)+SUMIFS(H29:H43,$C29:$C43,"Hrly Rate",OFFSET($B$29:$B$43,-1,0),$AU$5)</f>
        <v>0</v>
      </c>
      <c r="I121" s="297">
        <f ca="1">SUMIFS(I29:I43,$C29:$C43,"Mo. Salary",OFFSET($B$29:$B$43,-1,0),$AT$5)+SUMIFS(I29:I43,$C29:$C43,"Mo. Salary",OFFSET($B$29:$B$43,-1,0),$AU$5)+SUMIFS(I29:I43,$C29:$C43,"Hrly Rate",OFFSET($B$29:$B$43,-1,0),$AT$5)+SUMIFS(I29:I43,$C29:$C43,"Hrly Rate",OFFSET($B$29:$B$43,-1,0),$AU$5)</f>
        <v>0</v>
      </c>
      <c r="J121" s="298">
        <f ca="1">SUM(E121:I121)</f>
        <v>0</v>
      </c>
    </row>
    <row r="122" spans="1:10" ht="13.5" thickBot="1" x14ac:dyDescent="0.25">
      <c r="A122" s="293"/>
      <c r="B122" s="389" t="str">
        <f ca="1">"Personnel Count: "&amp;SUM(COUNTIF($B$28:$B$43,$AT$5)*($J$123&gt;0)+COUNTIF($B$28:$B$43,$AU$5)*($J$123&gt;0))</f>
        <v>Personnel Count: 0</v>
      </c>
      <c r="C122" s="390" t="s">
        <v>21</v>
      </c>
      <c r="D122" s="391"/>
      <c r="E122" s="392">
        <f ca="1">SUMIFS(E29:E43,$C29:$C43,"Fringe Rate",OFFSET($B$29:$B$43,-2,0),$AT$5)+SUMIFS(E29:E43,$C29:$C43,"Fringe Rate",OFFSET($B$29:$B$43,-2,0),$AU$5)</f>
        <v>0</v>
      </c>
      <c r="F122" s="392">
        <f ca="1">SUMIFS(F29:F43,$C29:$C43,"Fringe Rate",OFFSET($B$29:$B$43,-2,0),$AT$5)+SUMIFS(F29:F43,$C29:$C43,"Fringe Rate",OFFSET($B$29:$B$43,-2,0),$AU$5)</f>
        <v>0</v>
      </c>
      <c r="G122" s="392">
        <f ca="1">SUMIFS(G29:G43,$C29:$C43,"Fringe Rate",OFFSET($B$29:$B$43,-2,0),$AT$5)+SUMIFS(G29:G43,$C29:$C43,"Fringe Rate",OFFSET($B$29:$B$43,-2,0),$AU$5)</f>
        <v>0</v>
      </c>
      <c r="H122" s="392">
        <f ca="1">SUMIFS(H29:H43,$C29:$C43,"Fringe Rate",OFFSET($B$29:$B$43,-2,0),$AT$5)+SUMIFS(H29:H43,$C29:$C43,"Fringe Rate",OFFSET($B$29:$B$43,-2,0),$AU$5)</f>
        <v>0</v>
      </c>
      <c r="I122" s="392">
        <f ca="1">SUMIFS(I29:I43,$C29:$C43,"Fringe Rate",OFFSET($B$29:$B$43,-2,0),$AT$5)+SUMIFS(I29:I43,$C29:$C43,"Fringe Rate",OFFSET($B$29:$B$43,-2,0),$AU$5)</f>
        <v>0</v>
      </c>
      <c r="J122" s="393">
        <f ca="1">SUM(E122:I122)</f>
        <v>0</v>
      </c>
    </row>
    <row r="123" spans="1:10" ht="13.5" thickTop="1" x14ac:dyDescent="0.2">
      <c r="A123" s="293"/>
      <c r="B123" s="384"/>
      <c r="C123" s="394" t="s">
        <v>0</v>
      </c>
      <c r="D123" s="312"/>
      <c r="E123" s="395">
        <f ca="1">SUM(E121:E122)</f>
        <v>0</v>
      </c>
      <c r="F123" s="395">
        <f ca="1">SUM(F121:F122)</f>
        <v>0</v>
      </c>
      <c r="G123" s="395">
        <f ca="1">SUM(G121:G122)</f>
        <v>0</v>
      </c>
      <c r="H123" s="395">
        <f ca="1">SUM(H121:H122)</f>
        <v>0</v>
      </c>
      <c r="I123" s="395">
        <f ca="1">SUM(I121:I122)</f>
        <v>0</v>
      </c>
      <c r="J123" s="380">
        <f ca="1">SUM(E123:I123)</f>
        <v>0</v>
      </c>
    </row>
    <row r="124" spans="1:10" x14ac:dyDescent="0.2">
      <c r="A124" s="293"/>
      <c r="B124" s="384"/>
      <c r="C124" s="301"/>
      <c r="D124" s="296"/>
      <c r="E124" s="385">
        <f>SUMIFS(E28:E43,$B$28:$B$43,$AV$5)</f>
        <v>0</v>
      </c>
      <c r="F124" s="385">
        <f>SUMIFS(F28:F43,$B$28:$B$43,$AV$5)</f>
        <v>0</v>
      </c>
      <c r="G124" s="385">
        <f>SUMIFS(G28:G43,$B$28:$B$43,$AV$5)</f>
        <v>0</v>
      </c>
      <c r="H124" s="385">
        <f>SUMIFS(H28:H43,$B$28:$B$43,$AV$5)</f>
        <v>0</v>
      </c>
      <c r="I124" s="385">
        <f>SUMIFS(I28:I43,$B$28:$B$43,$AV$5)</f>
        <v>0</v>
      </c>
      <c r="J124" s="386" t="str">
        <f ca="1">IF(E124="","                          -","Sum: "&amp;ROUND(SUM(E124:INDIRECT(ADDRESS(ROW(),COLUMN()-1))),2)&amp;" | Avg: "&amp;ROUND(AVERAGE(E124:INDIRECT(ADDRESS(ROW(),COLUMN()-1))),2))</f>
        <v>Sum: 0 | Avg: 0</v>
      </c>
    </row>
    <row r="125" spans="1:10" x14ac:dyDescent="0.2">
      <c r="A125" s="293"/>
      <c r="B125" s="387" t="s">
        <v>148</v>
      </c>
      <c r="C125" s="388" t="s">
        <v>20</v>
      </c>
      <c r="D125" s="296"/>
      <c r="E125" s="297">
        <f ca="1">SUMIFS(E29:E43,$C29:$C43,"Mo. Salary",OFFSET($B$29:$B$43,-1,0),$AV$5)</f>
        <v>0</v>
      </c>
      <c r="F125" s="297">
        <f ca="1">SUMIFS(F29:F43,$C29:$C43,"Mo. Salary",OFFSET($B$29:$B$43,-1,0),$AV$5)</f>
        <v>0</v>
      </c>
      <c r="G125" s="297">
        <f ca="1">SUMIFS(G29:G43,$C29:$C43,"Mo. Salary",OFFSET($B$29:$B$43,-1,0),$AV$5)</f>
        <v>0</v>
      </c>
      <c r="H125" s="297">
        <f ca="1">SUMIFS(H29:H43,$C29:$C43,"Mo. Salary",OFFSET($B$29:$B$43,-1,0),$AV$5)</f>
        <v>0</v>
      </c>
      <c r="I125" s="297">
        <f ca="1">SUMIFS(I29:I43,$C29:$C43,"Mo. Salary",OFFSET($B$29:$B$43,-1,0),$AV$5)</f>
        <v>0</v>
      </c>
      <c r="J125" s="298">
        <f ca="1">SUM(E125:I125)</f>
        <v>0</v>
      </c>
    </row>
    <row r="126" spans="1:10" ht="13.5" thickBot="1" x14ac:dyDescent="0.25">
      <c r="A126" s="293"/>
      <c r="B126" s="389" t="str">
        <f ca="1">"Personnel Count: "&amp;SUM(COUNTIF($B$28:$B$43,$AV$5)*($J$127&gt;0))</f>
        <v>Personnel Count: 0</v>
      </c>
      <c r="C126" s="390" t="s">
        <v>21</v>
      </c>
      <c r="D126" s="391"/>
      <c r="E126" s="392">
        <f ca="1">SUMIFS(E29:E43,$C29:$C43,"Fringe Rate",OFFSET($B$29:$B$43,-2,0),$AV$5)</f>
        <v>0</v>
      </c>
      <c r="F126" s="392">
        <f ca="1">SUMIFS(F29:F43,$C29:$C43,"Fringe Rate",OFFSET($B$29:$B$43,-2,0),$AV$5)</f>
        <v>0</v>
      </c>
      <c r="G126" s="392">
        <f ca="1">SUMIFS(G29:G43,$C29:$C43,"Fringe Rate",OFFSET($B$29:$B$43,-2,0),$AV$5)</f>
        <v>0</v>
      </c>
      <c r="H126" s="392">
        <f ca="1">SUMIFS(H29:H43,$C29:$C43,"Fringe Rate",OFFSET($B$29:$B$43,-2,0),$AV$5)</f>
        <v>0</v>
      </c>
      <c r="I126" s="392">
        <f ca="1">SUMIFS(I29:I43,$C29:$C43,"Fringe Rate",OFFSET($B$29:$B$43,-2,0),$AV$5)</f>
        <v>0</v>
      </c>
      <c r="J126" s="393">
        <f ca="1">SUM(E126:I126)</f>
        <v>0</v>
      </c>
    </row>
    <row r="127" spans="1:10" ht="13.5" thickTop="1" x14ac:dyDescent="0.2">
      <c r="A127" s="293"/>
      <c r="B127" s="384"/>
      <c r="C127" s="394" t="s">
        <v>0</v>
      </c>
      <c r="D127" s="312"/>
      <c r="E127" s="395">
        <f ca="1">SUM(E125:E126)</f>
        <v>0</v>
      </c>
      <c r="F127" s="395">
        <f ca="1">SUM(F125:F126)</f>
        <v>0</v>
      </c>
      <c r="G127" s="395">
        <f ca="1">SUM(G125:G126)</f>
        <v>0</v>
      </c>
      <c r="H127" s="395">
        <f ca="1">SUM(H125:H126)</f>
        <v>0</v>
      </c>
      <c r="I127" s="395">
        <f ca="1">SUM(I125:I126)</f>
        <v>0</v>
      </c>
      <c r="J127" s="380">
        <f ca="1">SUM(E127:I127)</f>
        <v>0</v>
      </c>
    </row>
    <row r="128" spans="1:10" x14ac:dyDescent="0.2">
      <c r="A128" s="293"/>
      <c r="B128" s="384"/>
      <c r="C128" s="301"/>
      <c r="D128" s="296"/>
      <c r="E128" s="385">
        <f>SUMIFS(E28:E43,$B$28:$B$43,$AW$5)</f>
        <v>0</v>
      </c>
      <c r="F128" s="385">
        <f>SUMIFS(F28:F43,$B$28:$B$43,$AW$5)</f>
        <v>0</v>
      </c>
      <c r="G128" s="385">
        <f>SUMIFS(G28:G43,$B$28:$B$43,$AW$5)</f>
        <v>0</v>
      </c>
      <c r="H128" s="385">
        <f>SUMIFS(H28:H43,$B$28:$B$43,$AW$5)</f>
        <v>0</v>
      </c>
      <c r="I128" s="385">
        <f>SUMIFS(I28:I43,$B$28:$B$43,$AW$5)</f>
        <v>0</v>
      </c>
      <c r="J128" s="386" t="str">
        <f ca="1">IF(E128="","                          -","Sum: "&amp;ROUND(SUM(E128:INDIRECT(ADDRESS(ROW(),COLUMN()-1))),2)&amp;" | Avg: "&amp;ROUND(AVERAGE(E128:INDIRECT(ADDRESS(ROW(),COLUMN()-1))),2))</f>
        <v>Sum: 0 | Avg: 0</v>
      </c>
    </row>
    <row r="129" spans="1:10" x14ac:dyDescent="0.2">
      <c r="A129" s="293"/>
      <c r="B129" s="387" t="s">
        <v>149</v>
      </c>
      <c r="C129" s="388" t="s">
        <v>20</v>
      </c>
      <c r="D129" s="296"/>
      <c r="E129" s="297">
        <f ca="1">SUMIFS(E29:E43,$C29:$C43,"Mo. Salary",OFFSET($B$29:$B$43,-1,0),$AW$5)</f>
        <v>0</v>
      </c>
      <c r="F129" s="297">
        <f ca="1">SUMIFS(F29:F43,$C29:$C43,"Mo. Salary",OFFSET($B$29:$B$43,-1,0),$AW$5)</f>
        <v>0</v>
      </c>
      <c r="G129" s="297">
        <f ca="1">SUMIFS(G29:G43,$C29:$C43,"Mo. Salary",OFFSET($B$29:$B$43,-1,0),$AW$5)</f>
        <v>0</v>
      </c>
      <c r="H129" s="297">
        <f ca="1">SUMIFS(H29:H43,$C29:$C43,"Mo. Salary",OFFSET($B$29:$B$43,-1,0),$AW$5)</f>
        <v>0</v>
      </c>
      <c r="I129" s="297">
        <f ca="1">SUMIFS(I29:I43,$C29:$C43,"Mo. Salary",OFFSET($B$29:$B$43,-1,0),$AW$5)</f>
        <v>0</v>
      </c>
      <c r="J129" s="298">
        <f ca="1">SUM(E129:I129)</f>
        <v>0</v>
      </c>
    </row>
    <row r="130" spans="1:10" ht="13.5" thickBot="1" x14ac:dyDescent="0.25">
      <c r="A130" s="293"/>
      <c r="B130" s="389" t="str">
        <f ca="1">"Personnel Count: "&amp;SUM(COUNTIF($B$28:$B$43,$AW$5)*($J$131&gt;0))</f>
        <v>Personnel Count: 0</v>
      </c>
      <c r="C130" s="390" t="s">
        <v>21</v>
      </c>
      <c r="D130" s="391"/>
      <c r="E130" s="392">
        <f ca="1">SUMIFS(E29:E43,$C29:$C43,"Fringe Rate",OFFSET($B$29:$B$43,-2,0),$AW$5)</f>
        <v>0</v>
      </c>
      <c r="F130" s="392">
        <f ca="1">SUMIFS(F29:F43,$C29:$C43,"Fringe Rate",OFFSET($B$29:$B$43,-2,0),$AW$5)</f>
        <v>0</v>
      </c>
      <c r="G130" s="392">
        <f ca="1">SUMIFS(G29:G43,$C29:$C43,"Fringe Rate",OFFSET($B$29:$B$43,-2,0),$AW$5)</f>
        <v>0</v>
      </c>
      <c r="H130" s="392">
        <f ca="1">SUMIFS(H29:H43,$C29:$C43,"Fringe Rate",OFFSET($B$29:$B$43,-2,0),$AW$5)</f>
        <v>0</v>
      </c>
      <c r="I130" s="392">
        <f ca="1">SUMIFS(I29:I43,$C29:$C43,"Fringe Rate",OFFSET($B$29:$B$43,-2,0),$AW$5)</f>
        <v>0</v>
      </c>
      <c r="J130" s="393">
        <f ca="1">SUM(E130:I130)</f>
        <v>0</v>
      </c>
    </row>
    <row r="131" spans="1:10" ht="14.25" thickTop="1" thickBot="1" x14ac:dyDescent="0.25">
      <c r="A131" s="314"/>
      <c r="B131" s="315"/>
      <c r="C131" s="396" t="s">
        <v>0</v>
      </c>
      <c r="D131" s="397"/>
      <c r="E131" s="306">
        <f ca="1">SUM(E129:E130)</f>
        <v>0</v>
      </c>
      <c r="F131" s="306">
        <f ca="1">SUM(F129:F130)</f>
        <v>0</v>
      </c>
      <c r="G131" s="306">
        <f ca="1">SUM(G129:G130)</f>
        <v>0</v>
      </c>
      <c r="H131" s="306">
        <f ca="1">SUM(H129:H130)</f>
        <v>0</v>
      </c>
      <c r="I131" s="306">
        <f ca="1">SUM(I129:I130)</f>
        <v>0</v>
      </c>
      <c r="J131" s="307">
        <f ca="1">SUM(E131:I131)</f>
        <v>0</v>
      </c>
    </row>
    <row r="132" spans="1:10" ht="13.5" thickBot="1" x14ac:dyDescent="0.25"/>
    <row r="133" spans="1:10" ht="12.95" customHeight="1" x14ac:dyDescent="0.2">
      <c r="A133" s="745" t="s">
        <v>55</v>
      </c>
      <c r="B133" s="398" t="s">
        <v>33</v>
      </c>
      <c r="C133" s="164"/>
      <c r="D133" s="163"/>
      <c r="E133" s="129">
        <f ca="1">IF(E105="TBD",0,E103/E105)</f>
        <v>0</v>
      </c>
      <c r="F133" s="129">
        <f ca="1">IF(F105="TBD",0,F103/F105)</f>
        <v>0</v>
      </c>
      <c r="G133" s="129">
        <f ca="1">IF(G105="TBD",0,G103/G105)</f>
        <v>0</v>
      </c>
      <c r="H133" s="129">
        <f ca="1">IF(H105="TBD",0,H103/H105)</f>
        <v>0</v>
      </c>
      <c r="I133" s="129">
        <f ca="1">IF(I105="TBD",0,I103/I105)</f>
        <v>0</v>
      </c>
      <c r="J133" s="58">
        <f ca="1">IF(J105=0,0,J103/J105)</f>
        <v>0</v>
      </c>
    </row>
    <row r="134" spans="1:10" ht="12.95" customHeight="1" thickBot="1" x14ac:dyDescent="0.25">
      <c r="A134" s="746"/>
      <c r="B134" s="399" t="s">
        <v>40</v>
      </c>
      <c r="C134" s="166"/>
      <c r="D134" s="165"/>
      <c r="E134" s="139">
        <f t="shared" ref="E134:J134" si="2">IF($C$3=$Q$1,0,ROUND($Q$1*(E100-E56-E68-E75-SUMIF($B$71:$B$85,$B$78,E71:E85)-E84),0)-E103)</f>
        <v>0</v>
      </c>
      <c r="F134" s="139">
        <f t="shared" si="2"/>
        <v>0</v>
      </c>
      <c r="G134" s="139">
        <f t="shared" si="2"/>
        <v>0</v>
      </c>
      <c r="H134" s="139">
        <f t="shared" si="2"/>
        <v>0</v>
      </c>
      <c r="I134" s="139">
        <f t="shared" si="2"/>
        <v>0</v>
      </c>
      <c r="J134" s="138">
        <f t="shared" si="2"/>
        <v>0</v>
      </c>
    </row>
    <row r="135" spans="1:10" x14ac:dyDescent="0.2">
      <c r="F135" s="104"/>
      <c r="G135" s="104"/>
      <c r="H135" s="104"/>
      <c r="I135" s="104"/>
    </row>
    <row r="192" spans="21:21" x14ac:dyDescent="0.2">
      <c r="U192" s="747"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93" spans="21:21" x14ac:dyDescent="0.2">
      <c r="U193" s="748"/>
    </row>
    <row r="194" spans="21:21" x14ac:dyDescent="0.2">
      <c r="U194" s="748"/>
    </row>
    <row r="195" spans="21:21" x14ac:dyDescent="0.2">
      <c r="U195" s="748"/>
    </row>
    <row r="196" spans="21:21" x14ac:dyDescent="0.2">
      <c r="U196" s="748"/>
    </row>
  </sheetData>
  <scenarios current="5" show="1" sqref="D54">
    <scenario name="On-camp instr" locked="1" count="2" user="Grants and Contracts" comment="Created by Grants and Contracts on 6/13/96_x000a_Modified by Grants and Contracts on 6/13/96">
      <inputCells r="Q1" val="0.519"/>
      <inputCells r="Z1" val="0.5"/>
    </scenario>
    <scenario name="On-camp res" locked="1" count="2" user="Grants and Contracts" comment="Created by Grants and Contracts on 6/13/96_x000a_Modified by Grants and Contracts on 6/13/96">
      <inputCells r="Q1" val="0.555"/>
      <inputCells r="Z1" val="0.345"/>
    </scenario>
    <scenario name="On-camp - other" locked="1" count="2" user="Grants and Contracts" comment="Created by Grants and Contracts on 6/13/96_x000a_Modified by Grants and Contracts on 6/13/96">
      <inputCells r="Q1" val="0.237"/>
      <inputCells r="Z1" val="0.513"/>
    </scenario>
    <scenario name="Off-camp instr" locked="1" count="2" user="Grants and Contracts" comment="Created by Grants and Contracts on 6/13/96">
      <inputCells r="Q1" val="0.24"/>
      <inputCells r="Z1" val="0.5"/>
    </scenario>
    <scenario name="Off-camp research" locked="1" count="2" user="Grants and Contracts" comment="Created by Grants and Contracts on 6/13/96">
      <inputCells r="Q1" val="0.24"/>
      <inputCells r="Z1" val="0.345"/>
    </scenario>
    <scenario name="Off-camp - other" locked="1" count="2" user="Grants and Contracts" comment="Created by Grants and Contracts on 6/13/96">
      <inputCells r="Q1" val="0.187"/>
      <inputCells r="Z1" val="0.513"/>
    </scenario>
  </scenarios>
  <mergeCells count="22">
    <mergeCell ref="C79:D79"/>
    <mergeCell ref="B85:C85"/>
    <mergeCell ref="A133:A134"/>
    <mergeCell ref="U192:U196"/>
    <mergeCell ref="C62:D62"/>
    <mergeCell ref="C76:D76"/>
    <mergeCell ref="B86:C86"/>
    <mergeCell ref="B87:C87"/>
    <mergeCell ref="B88:C88"/>
    <mergeCell ref="B89:C89"/>
    <mergeCell ref="B90:C90"/>
    <mergeCell ref="B92:C92"/>
    <mergeCell ref="B91:C91"/>
    <mergeCell ref="B93:C93"/>
    <mergeCell ref="B94:C94"/>
    <mergeCell ref="C6:E6"/>
    <mergeCell ref="F4:J6"/>
    <mergeCell ref="C1:E1"/>
    <mergeCell ref="C2:E2"/>
    <mergeCell ref="C4:E4"/>
    <mergeCell ref="C3:E3"/>
    <mergeCell ref="C5:E5"/>
  </mergeCells>
  <conditionalFormatting sqref="B27:B43">
    <cfRule type="cellIs" dxfId="61" priority="38" operator="between">
      <formula>0</formula>
      <formula>1</formula>
    </cfRule>
  </conditionalFormatting>
  <conditionalFormatting sqref="B30 B33 B36 B39 B42">
    <cfRule type="expression" dxfId="60" priority="55">
      <formula>OR($B28=$AR$5,$B28=$AS$5,$B28=$AT$5,$B28=$AU$5)</formula>
    </cfRule>
  </conditionalFormatting>
  <conditionalFormatting sqref="D28 D31">
    <cfRule type="expression" dxfId="59" priority="50">
      <formula>OR($B28=$AR$5,$B28=$AS$5,$B28=$AT$5,$B28=$AU$5)</formula>
    </cfRule>
  </conditionalFormatting>
  <conditionalFormatting sqref="D29 D32">
    <cfRule type="cellIs" dxfId="58" priority="39" operator="lessThanOrEqual">
      <formula>100</formula>
    </cfRule>
    <cfRule type="expression" dxfId="57" priority="51">
      <formula>OR($B28=$AP$5,$B28=$AQ$5,$B28=$AV$5,$B28=$AW$5)</formula>
    </cfRule>
    <cfRule type="expression" dxfId="56" priority="56">
      <formula>OR($B28=$AR$5,$B28=$AS$5,$B28=$AT$5,$B28=$AU$5)</formula>
    </cfRule>
  </conditionalFormatting>
  <conditionalFormatting sqref="D34">
    <cfRule type="expression" dxfId="55" priority="16">
      <formula>OR($B34=$AR$5,$B34=$AS$5,$B34=$AT$5,$B34=$AU$5)</formula>
    </cfRule>
  </conditionalFormatting>
  <conditionalFormatting sqref="D35">
    <cfRule type="cellIs" dxfId="54" priority="15" operator="lessThanOrEqual">
      <formula>100</formula>
    </cfRule>
    <cfRule type="expression" dxfId="53" priority="17">
      <formula>OR($B34=$AP$5,$B34=$AQ$5,$B34=$AV$5,$B34=$AW$5)</formula>
    </cfRule>
    <cfRule type="expression" dxfId="52" priority="18">
      <formula>OR($B34=$AR$5,$B34=$AS$5,$B34=$AT$5,$B34=$AU$5)</formula>
    </cfRule>
  </conditionalFormatting>
  <conditionalFormatting sqref="D37">
    <cfRule type="expression" dxfId="51" priority="10">
      <formula>OR($B37=$AR$5,$B37=$AS$5,$B37=$AT$5,$B37=$AU$5)</formula>
    </cfRule>
  </conditionalFormatting>
  <conditionalFormatting sqref="D38">
    <cfRule type="cellIs" dxfId="50" priority="9" operator="lessThanOrEqual">
      <formula>100</formula>
    </cfRule>
    <cfRule type="expression" dxfId="49" priority="11">
      <formula>OR($B37=$AP$5,$B37=$AQ$5,$B37=$AV$5,$B37=$AW$5)</formula>
    </cfRule>
    <cfRule type="expression" dxfId="48" priority="12">
      <formula>OR($B37=$AR$5,$B37=$AS$5,$B37=$AT$5,$B37=$AU$5)</formula>
    </cfRule>
  </conditionalFormatting>
  <conditionalFormatting sqref="D40">
    <cfRule type="expression" dxfId="47" priority="4">
      <formula>OR($B40=$AR$5,$B40=$AS$5,$B40=$AT$5,$B40=$AU$5)</formula>
    </cfRule>
  </conditionalFormatting>
  <conditionalFormatting sqref="D41">
    <cfRule type="cellIs" dxfId="46" priority="3" operator="lessThanOrEqual">
      <formula>100</formula>
    </cfRule>
    <cfRule type="expression" dxfId="45" priority="5">
      <formula>OR($B40=$AP$5,$B40=$AQ$5,$B40=$AV$5,$B40=$AW$5)</formula>
    </cfRule>
    <cfRule type="expression" dxfId="44" priority="6">
      <formula>OR($B40=$AR$5,$B40=$AS$5,$B40=$AT$5,$B40=$AU$5)</formula>
    </cfRule>
  </conditionalFormatting>
  <conditionalFormatting sqref="E85:I95">
    <cfRule type="expression" dxfId="43" priority="92">
      <formula>OR($B85=$AW$2,$B85=$AX$2)</formula>
    </cfRule>
  </conditionalFormatting>
  <conditionalFormatting sqref="K29 K32">
    <cfRule type="cellIs" dxfId="42" priority="30" operator="equal">
      <formula>"No"</formula>
    </cfRule>
    <cfRule type="expression" dxfId="41" priority="31">
      <formula>OR($B28=$AT$5,$B28=$AU$5,$B28=$AW$5)</formula>
    </cfRule>
  </conditionalFormatting>
  <conditionalFormatting sqref="K35">
    <cfRule type="cellIs" dxfId="40" priority="13" operator="equal">
      <formula>"No"</formula>
    </cfRule>
    <cfRule type="expression" dxfId="39" priority="14">
      <formula>OR($B34=$AT$5,$B34=$AU$5,$B34=$AW$5)</formula>
    </cfRule>
  </conditionalFormatting>
  <conditionalFormatting sqref="K38">
    <cfRule type="cellIs" dxfId="38" priority="7" operator="equal">
      <formula>"No"</formula>
    </cfRule>
    <cfRule type="expression" dxfId="37" priority="8">
      <formula>OR($B37=$AT$5,$B37=$AU$5,$B37=$AW$5)</formula>
    </cfRule>
  </conditionalFormatting>
  <conditionalFormatting sqref="K41">
    <cfRule type="cellIs" dxfId="36" priority="1" operator="equal">
      <formula>"No"</formula>
    </cfRule>
    <cfRule type="expression" dxfId="35" priority="2">
      <formula>OR($B40=$AT$5,$B40=$AU$5,$B40=$AW$5)</formula>
    </cfRule>
  </conditionalFormatting>
  <dataValidations xWindow="814" yWindow="363" count="31">
    <dataValidation allowBlank="1" showInputMessage="1" showErrorMessage="1" promptTitle="2 CFR 200.431(j)" prompt="Fringe benefits in the form of undergraduate and graduate tuition or remission of tuition for individual employees are allowable...." sqref="B84" xr:uid="{00000000-0002-0000-0200-000000000000}"/>
    <dataValidation allowBlank="1" showErrorMessage="1" promptTitle="2 CFR 200.75" prompt="Stipends or subsistence allowances, travel allowances, and registration fees paid to or on behalf of participants or trainees (but not employees) in connection with conferences, or training projects." sqref="B68" xr:uid="{00000000-0002-0000-0200-000001000000}"/>
    <dataValidation allowBlank="1" showInputMessage="1" showErrorMessage="1" promptTitle="DO NOT EDIT - Except Other Basis" prompt="This field automatically calculates for F&amp;A Basis of MTDC or TDC. However, it should be updated when using an F&amp;A Basis of &quot;Other&quot;." sqref="E101:I101" xr:uid="{00000000-0002-0000-0200-000002000000}"/>
    <dataValidation allowBlank="1" showInputMessage="1" showErrorMessage="1" promptTitle="DO NOT EDIT!" prompt="This field is automatically calculated." sqref="E80:I82 E21:I21 E77:I78 E84:I84 E12:I12 E30:I30 E15:I15 E18:I18 E33:I33 E36:I36 E39:I39 E42:I42" xr:uid="{00000000-0002-0000-0200-000003000000}"/>
    <dataValidation allowBlank="1" showInputMessage="1" showErrorMessage="1" promptTitle="2 CFR 200.330" prompt="Criteria for subrecipient versus contractor determination" sqref="C76 C79" xr:uid="{00000000-0002-0000-0200-000004000000}"/>
    <dataValidation allowBlank="1" showInputMessage="1" showErrorMessage="1" promptTitle="2 CFR 200.314" prompt="Supplies" sqref="B71" xr:uid="{00000000-0002-0000-0200-000005000000}"/>
    <dataValidation allowBlank="1" showInputMessage="1" showErrorMessage="1" promptTitle="2 CFR 200.461" prompt="Publication and printing costs" sqref="B72" xr:uid="{00000000-0002-0000-0200-000006000000}"/>
    <dataValidation allowBlank="1" showInputMessage="1" showErrorMessage="1" promptTitle="2 CFR 200.430" prompt="Compensation-personal services" sqref="B9 B27" xr:uid="{00000000-0002-0000-0200-000007000000}"/>
    <dataValidation allowBlank="1" showInputMessage="1" showErrorMessage="1" promptTitle="2 CFR 200.414 and Appendix III" prompt="Indirect (F&amp;A) costs" sqref="B103" xr:uid="{00000000-0002-0000-0200-000008000000}"/>
    <dataValidation allowBlank="1" showInputMessage="1" showErrorMessage="1" promptTitle="2 CFR 200.330(b)" prompt="Contractor (Vendor) Costs" sqref="AR2" xr:uid="{00000000-0002-0000-0200-000009000000}"/>
    <dataValidation allowBlank="1" showInputMessage="1" showErrorMessage="1" promptTitle="2 CFR 200.459" prompt="Professional Service Costs" sqref="B73" xr:uid="{00000000-0002-0000-0200-00000A000000}"/>
    <dataValidation allowBlank="1" showInputMessage="1" showErrorMessage="1" promptTitle="Internal Program Rate" prompt="May be deemed as prohibited voluntary cost share by NSF." sqref="B75" xr:uid="{19636439-7183-4AF6-B36F-ADA9A5B0368C}"/>
    <dataValidation allowBlank="1" showInputMessage="1" showErrorMessage="1" promptTitle="2 CFR 200.431" prompt="Compensation-fringe benefits" sqref="B49" xr:uid="{00000000-0002-0000-0200-00000C000000}"/>
    <dataValidation allowBlank="1" showInputMessage="1" showErrorMessage="1" promptTitle="OBFS 15" prompt="Travel Reimbursement and Per Diem: https://www.obfs.uillinois.edu/bfpp/section-15-travel/travel-reimbursement-and-per-diem" sqref="B58:B60" xr:uid="{00000000-0002-0000-0200-00000D000000}"/>
    <dataValidation allowBlank="1" showInputMessage="1" showErrorMessage="1" promptTitle="2 CFR 200.92" prompt="Subaward" sqref="B76 B79" xr:uid="{00000000-0002-0000-0200-00000E000000}"/>
    <dataValidation allowBlank="1" showInputMessage="1" showErrorMessage="1" promptTitle="2 CFR 200.92" prompt="With MTDC basis, the first $25,000 of each subaward is assessed F&amp;A costs. " sqref="B77 B80" xr:uid="{00000000-0002-0000-0200-00000F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1:B62" xr:uid="{00000000-0002-0000-0200-000010000000}"/>
    <dataValidation allowBlank="1" showInputMessage="1" showErrorMessage="1" promptTitle="2 CFR 200.33" prompt="Tangible personal property having a useful life of more than one year and a per-unit acquisition cost which equals or exceeds $5,000." sqref="B52" xr:uid="{00000000-0002-0000-0200-000011000000}"/>
    <dataValidation allowBlank="1" showInputMessage="1" showErrorMessage="1" promptTitle="Applicable F&amp;A Rate" prompt="This field will dislpayed after inputting Activity Type and Location" sqref="Q1" xr:uid="{00000000-0002-0000-0200-000012000000}"/>
    <dataValidation allowBlank="1" showInputMessage="1" showErrorMessage="1" promptTitle="Note" prompt="MTDC or TDC will display based on the value selected in cell I3." sqref="B101" xr:uid="{00000000-0002-0000-0200-000013000000}"/>
    <dataValidation allowBlank="1" showInputMessage="1" showErrorMessage="1" promptTitle="Applied F&amp;A Rate" prompt="If appplicable, then override the Applicable F&amp;A Rate with the F&amp;A Rate to be applied to this project." sqref="C3:E3" xr:uid="{00000000-0002-0000-0200-000014000000}"/>
    <dataValidation allowBlank="1" showInputMessage="1" showErrorMessage="1" promptTitle="Notes" prompt="Add notes as necessary." sqref="G1:G2" xr:uid="{00000000-0002-0000-0200-000015000000}"/>
    <dataValidation type="list" allowBlank="1" showInputMessage="1" showErrorMessage="1" sqref="B85:B94" xr:uid="{00000000-0002-0000-0200-000016000000}">
      <formula1>$AP$2:$BA$2</formula1>
    </dataValidation>
    <dataValidation type="list" allowBlank="1" showInputMessage="1" showErrorMessage="1" sqref="B10 B13 B16 B19" xr:uid="{00000000-0002-0000-0200-000018000000}">
      <formula1>$AK$1:$AK$5</formula1>
    </dataValidation>
    <dataValidation type="list" allowBlank="1" showInputMessage="1" showErrorMessage="1" promptTitle="Project Location" prompt="Select the Project Location." sqref="C2:E2" xr:uid="{00000000-0002-0000-0200-000019000000}">
      <formula1>$AG$1:$AH$1</formula1>
    </dataValidation>
    <dataValidation type="list" allowBlank="1" showInputMessage="1" showErrorMessage="1" promptTitle="Project Activity Type" prompt="Select the Project Activity Type." sqref="C1:E1" xr:uid="{00000000-0002-0000-0200-00001A000000}">
      <formula1>$AB$1:$AB$6</formula1>
    </dataValidation>
    <dataValidation type="list" allowBlank="1" showInputMessage="1" showErrorMessage="1" promptTitle="F&amp;A Cost Basis" prompt="Select the basis for the F&amp;A costs._x000a_- Full Negotiated Rate = MTDC_x000a_- Reduced Rate = TDC (including (0% or 10%)_x000a_- Non-Standard Costs Assessed F&amp;A Rate = Other" sqref="C4:E4" xr:uid="{00000000-0002-0000-0200-00001B000000}">
      <formula1>$AF$1:$AF$3</formula1>
    </dataValidation>
    <dataValidation type="list" allowBlank="1" showInputMessage="1" showErrorMessage="1" sqref="B28 B31 B34 B37 B40" xr:uid="{00000000-0002-0000-0200-000017000000}">
      <formula1>$AP$5:$AW$5</formula1>
    </dataValidation>
    <dataValidation type="list" allowBlank="1" showInputMessage="1" showErrorMessage="1" sqref="C9 C27" xr:uid="{1596C3C7-0636-48A9-8677-27E5168B72F8}">
      <formula1>$AM$1:$AM$2</formula1>
    </dataValidation>
    <dataValidation type="list" allowBlank="1" showInputMessage="1" showErrorMessage="1" sqref="K32 K29 K35 K38 K41" xr:uid="{45A8E291-4562-4F14-A6DA-A7CA1FD3484F}">
      <formula1>"Yes, No"</formula1>
    </dataValidation>
    <dataValidation allowBlank="1" showErrorMessage="1" promptTitle="Notes" prompt="Add notes as necessary." sqref="F3" xr:uid="{A0AEEF45-6DA9-4B95-B579-401AE96A719A}"/>
  </dataValidations>
  <printOptions horizontalCentered="1"/>
  <pageMargins left="0.25" right="0.25" top="0.75" bottom="0.75" header="0.3" footer="0.3"/>
  <pageSetup scale="90" fitToHeight="0" orientation="portrait" r:id="rId1"/>
  <headerFooter alignWithMargins="0">
    <oddHeader>&amp;L&amp;G&amp;C&amp;"Arial,Bold"&amp;12SPA Budget Template - FY27&amp;RPage &amp;P of &amp;N</oddHeader>
    <oddFooter>&amp;LSPA v.03042026&amp;RLast Updated: &amp;D</oddFooter>
  </headerFooter>
  <rowBreaks count="1" manualBreakCount="1">
    <brk id="106"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9" r:id="rId5" name="Check Box 5">
              <controlPr defaultSize="0" print="0" autoFill="0" autoLine="0" autoPict="0">
                <anchor moveWithCells="1">
                  <from>
                    <xdr:col>10</xdr:col>
                    <xdr:colOff>285750</xdr:colOff>
                    <xdr:row>4</xdr:row>
                    <xdr:rowOff>85725</xdr:rowOff>
                  </from>
                  <to>
                    <xdr:col>10</xdr:col>
                    <xdr:colOff>428625</xdr:colOff>
                    <xdr:row>5</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01844-55BE-434D-8BC4-4B705D0E096B}">
  <dimension ref="A1:D90"/>
  <sheetViews>
    <sheetView topLeftCell="A6" workbookViewId="0">
      <selection activeCell="F15" sqref="F15"/>
    </sheetView>
  </sheetViews>
  <sheetFormatPr defaultColWidth="15.7109375" defaultRowHeight="12.75" x14ac:dyDescent="0.2"/>
  <cols>
    <col min="1" max="1" width="24.5703125" customWidth="1"/>
    <col min="3" max="3" width="25.5703125" customWidth="1"/>
    <col min="5" max="5" width="25.7109375" bestFit="1" customWidth="1"/>
  </cols>
  <sheetData>
    <row r="1" spans="1:4" ht="15" customHeight="1" x14ac:dyDescent="0.25">
      <c r="A1" s="750" t="s">
        <v>189</v>
      </c>
      <c r="B1" s="750"/>
      <c r="C1" s="750"/>
      <c r="D1" s="750"/>
    </row>
    <row r="3" spans="1:4" ht="15" customHeight="1" x14ac:dyDescent="0.2">
      <c r="A3" s="661" t="s">
        <v>97</v>
      </c>
    </row>
    <row r="4" spans="1:4" ht="15" customHeight="1" x14ac:dyDescent="0.2">
      <c r="A4" s="662" t="s">
        <v>190</v>
      </c>
      <c r="B4" s="663" t="s">
        <v>191</v>
      </c>
      <c r="C4" s="663" t="s">
        <v>192</v>
      </c>
      <c r="D4" s="664"/>
    </row>
    <row r="5" spans="1:4" ht="15" customHeight="1" x14ac:dyDescent="0.2">
      <c r="A5" s="35"/>
      <c r="B5" s="665"/>
      <c r="C5" s="666"/>
      <c r="D5" s="667">
        <f>B5*C5</f>
        <v>0</v>
      </c>
    </row>
    <row r="6" spans="1:4" ht="15" customHeight="1" x14ac:dyDescent="0.2">
      <c r="A6" s="35"/>
      <c r="C6" s="666">
        <v>0</v>
      </c>
      <c r="D6" s="667">
        <f>B6*C6</f>
        <v>0</v>
      </c>
    </row>
    <row r="7" spans="1:4" ht="15" customHeight="1" thickBot="1" x14ac:dyDescent="0.25">
      <c r="A7" s="668"/>
      <c r="B7" s="669"/>
      <c r="C7" s="670">
        <v>0</v>
      </c>
      <c r="D7" s="671">
        <f>B7*C7</f>
        <v>0</v>
      </c>
    </row>
    <row r="8" spans="1:4" ht="15" customHeight="1" thickTop="1" x14ac:dyDescent="0.2">
      <c r="B8" s="35"/>
      <c r="C8" s="35"/>
      <c r="D8" s="672">
        <f>SUM(D5:D7)</f>
        <v>0</v>
      </c>
    </row>
    <row r="10" spans="1:4" ht="15" customHeight="1" x14ac:dyDescent="0.25">
      <c r="A10" s="751" t="s">
        <v>240</v>
      </c>
      <c r="B10" s="751"/>
      <c r="C10" s="751"/>
      <c r="D10" s="751"/>
    </row>
    <row r="11" spans="1:4" ht="15" customHeight="1" x14ac:dyDescent="0.2"/>
    <row r="12" spans="1:4" ht="15" customHeight="1" x14ac:dyDescent="0.2">
      <c r="A12" s="673" t="s">
        <v>193</v>
      </c>
      <c r="B12" s="35" t="s">
        <v>194</v>
      </c>
      <c r="C12" s="663" t="s">
        <v>195</v>
      </c>
      <c r="D12" s="35" t="s">
        <v>196</v>
      </c>
    </row>
    <row r="13" spans="1:4" ht="15" customHeight="1" x14ac:dyDescent="0.2">
      <c r="A13" s="674" t="s">
        <v>197</v>
      </c>
      <c r="B13" s="675" t="s">
        <v>198</v>
      </c>
      <c r="C13" s="676"/>
      <c r="D13" s="677"/>
    </row>
    <row r="14" spans="1:4" ht="15" customHeight="1" x14ac:dyDescent="0.2">
      <c r="A14" t="s">
        <v>199</v>
      </c>
      <c r="B14" s="678"/>
      <c r="C14" s="679"/>
      <c r="D14" s="680">
        <f>B14*C14</f>
        <v>0</v>
      </c>
    </row>
    <row r="15" spans="1:4" ht="15" customHeight="1" x14ac:dyDescent="0.2">
      <c r="A15" t="s">
        <v>200</v>
      </c>
      <c r="C15" s="679"/>
      <c r="D15" s="667">
        <f>B15*C15</f>
        <v>0</v>
      </c>
    </row>
    <row r="16" spans="1:4" ht="15" customHeight="1" x14ac:dyDescent="0.2">
      <c r="A16" t="s">
        <v>201</v>
      </c>
      <c r="C16" s="681"/>
      <c r="D16" s="667">
        <f>B16*C16</f>
        <v>0</v>
      </c>
    </row>
    <row r="17" spans="1:4" ht="15" customHeight="1" x14ac:dyDescent="0.2">
      <c r="A17" s="35" t="s">
        <v>202</v>
      </c>
      <c r="C17" s="681">
        <v>0.72499999999999998</v>
      </c>
      <c r="D17" s="667">
        <f>B17*C17</f>
        <v>0</v>
      </c>
    </row>
    <row r="18" spans="1:4" ht="15" customHeight="1" x14ac:dyDescent="0.2">
      <c r="A18" s="682" t="s">
        <v>203</v>
      </c>
      <c r="B18" s="664"/>
      <c r="C18" s="683"/>
      <c r="D18" s="667">
        <f>B18*C18</f>
        <v>0</v>
      </c>
    </row>
    <row r="19" spans="1:4" ht="15" customHeight="1" x14ac:dyDescent="0.2">
      <c r="C19" t="s">
        <v>204</v>
      </c>
      <c r="D19" s="667">
        <f>(SUM(D14:D18))</f>
        <v>0</v>
      </c>
    </row>
    <row r="20" spans="1:4" ht="15" customHeight="1" thickBot="1" x14ac:dyDescent="0.25">
      <c r="A20" s="668" t="s">
        <v>205</v>
      </c>
      <c r="B20" s="684">
        <v>1</v>
      </c>
      <c r="C20" s="684"/>
      <c r="D20" s="685">
        <f>B20</f>
        <v>1</v>
      </c>
    </row>
    <row r="21" spans="1:4" ht="15" customHeight="1" thickTop="1" x14ac:dyDescent="0.2">
      <c r="D21" s="686">
        <f>D19*B20</f>
        <v>0</v>
      </c>
    </row>
    <row r="22" spans="1:4" ht="15" customHeight="1" x14ac:dyDescent="0.2"/>
    <row r="23" spans="1:4" ht="15" customHeight="1" x14ac:dyDescent="0.2">
      <c r="A23" s="673" t="s">
        <v>206</v>
      </c>
      <c r="B23" s="663" t="s">
        <v>194</v>
      </c>
      <c r="C23" s="663" t="s">
        <v>195</v>
      </c>
      <c r="D23" s="35" t="s">
        <v>196</v>
      </c>
    </row>
    <row r="24" spans="1:4" ht="15" customHeight="1" x14ac:dyDescent="0.2">
      <c r="A24" s="687" t="s">
        <v>197</v>
      </c>
      <c r="B24" s="688" t="s">
        <v>207</v>
      </c>
      <c r="C24" s="689"/>
      <c r="D24" s="677"/>
    </row>
    <row r="25" spans="1:4" ht="15" customHeight="1" x14ac:dyDescent="0.2">
      <c r="A25" t="s">
        <v>199</v>
      </c>
      <c r="C25" s="679"/>
      <c r="D25" s="680">
        <f>B25*C25</f>
        <v>0</v>
      </c>
    </row>
    <row r="26" spans="1:4" ht="15" customHeight="1" x14ac:dyDescent="0.2">
      <c r="A26" t="s">
        <v>200</v>
      </c>
      <c r="C26" s="679"/>
      <c r="D26" s="667">
        <f>B26*C26</f>
        <v>0</v>
      </c>
    </row>
    <row r="27" spans="1:4" ht="15" customHeight="1" x14ac:dyDescent="0.2">
      <c r="A27" t="s">
        <v>201</v>
      </c>
      <c r="C27" s="681"/>
      <c r="D27" s="667">
        <f>B27*C27</f>
        <v>0</v>
      </c>
    </row>
    <row r="28" spans="1:4" ht="15" customHeight="1" x14ac:dyDescent="0.2">
      <c r="A28" s="35" t="s">
        <v>202</v>
      </c>
      <c r="C28" s="681">
        <v>0.72499999999999998</v>
      </c>
      <c r="D28" s="667">
        <f>B28*C28</f>
        <v>0</v>
      </c>
    </row>
    <row r="29" spans="1:4" ht="15" customHeight="1" x14ac:dyDescent="0.2">
      <c r="A29" s="682" t="s">
        <v>203</v>
      </c>
      <c r="B29" s="664"/>
      <c r="C29" s="683"/>
      <c r="D29" s="667">
        <f>B29*C29</f>
        <v>0</v>
      </c>
    </row>
    <row r="30" spans="1:4" ht="15" customHeight="1" x14ac:dyDescent="0.2">
      <c r="D30" s="667">
        <f>(SUM(D25:D29))</f>
        <v>0</v>
      </c>
    </row>
    <row r="31" spans="1:4" ht="15" customHeight="1" thickBot="1" x14ac:dyDescent="0.25">
      <c r="A31" s="668" t="s">
        <v>205</v>
      </c>
      <c r="B31" s="684">
        <v>1</v>
      </c>
      <c r="C31" s="684"/>
      <c r="D31" s="685">
        <f>B31</f>
        <v>1</v>
      </c>
    </row>
    <row r="32" spans="1:4" ht="15" customHeight="1" thickTop="1" x14ac:dyDescent="0.2">
      <c r="D32" s="686">
        <f>D30*B31</f>
        <v>0</v>
      </c>
    </row>
    <row r="34" spans="1:4" ht="15" customHeight="1" x14ac:dyDescent="0.2">
      <c r="A34" s="673" t="s">
        <v>208</v>
      </c>
      <c r="B34" s="663" t="s">
        <v>194</v>
      </c>
      <c r="C34" s="663" t="s">
        <v>195</v>
      </c>
      <c r="D34" s="35" t="s">
        <v>196</v>
      </c>
    </row>
    <row r="35" spans="1:4" ht="15" customHeight="1" x14ac:dyDescent="0.2">
      <c r="A35" s="687" t="s">
        <v>197</v>
      </c>
      <c r="B35" s="688" t="s">
        <v>198</v>
      </c>
      <c r="C35" s="689"/>
      <c r="D35" s="677"/>
    </row>
    <row r="36" spans="1:4" ht="15" customHeight="1" x14ac:dyDescent="0.2">
      <c r="A36" t="s">
        <v>199</v>
      </c>
      <c r="C36" s="679"/>
      <c r="D36" s="680">
        <f>B36*C36</f>
        <v>0</v>
      </c>
    </row>
    <row r="37" spans="1:4" ht="15" customHeight="1" x14ac:dyDescent="0.2">
      <c r="A37" t="s">
        <v>200</v>
      </c>
      <c r="C37" s="679"/>
      <c r="D37" s="667">
        <f>B37*C37</f>
        <v>0</v>
      </c>
    </row>
    <row r="38" spans="1:4" ht="15" customHeight="1" x14ac:dyDescent="0.2">
      <c r="A38" t="s">
        <v>201</v>
      </c>
      <c r="C38" s="681">
        <v>0</v>
      </c>
      <c r="D38" s="667">
        <f>B38*C38</f>
        <v>0</v>
      </c>
    </row>
    <row r="39" spans="1:4" ht="15" customHeight="1" x14ac:dyDescent="0.2">
      <c r="A39" s="35" t="s">
        <v>202</v>
      </c>
      <c r="C39" s="681">
        <v>0.72499999999999998</v>
      </c>
      <c r="D39" s="667">
        <f>B39*C39</f>
        <v>0</v>
      </c>
    </row>
    <row r="40" spans="1:4" ht="15" customHeight="1" x14ac:dyDescent="0.2">
      <c r="A40" s="682" t="s">
        <v>203</v>
      </c>
      <c r="B40" s="664"/>
      <c r="C40" s="683"/>
      <c r="D40" s="667">
        <f>B40*C40</f>
        <v>0</v>
      </c>
    </row>
    <row r="41" spans="1:4" ht="15" customHeight="1" x14ac:dyDescent="0.2">
      <c r="C41" t="s">
        <v>204</v>
      </c>
      <c r="D41" s="667">
        <f>(SUM(D36:D40))</f>
        <v>0</v>
      </c>
    </row>
    <row r="42" spans="1:4" ht="15" customHeight="1" thickBot="1" x14ac:dyDescent="0.25">
      <c r="A42" s="668" t="s">
        <v>205</v>
      </c>
      <c r="B42" s="684"/>
      <c r="C42" s="684"/>
      <c r="D42" s="685">
        <f>B42</f>
        <v>0</v>
      </c>
    </row>
    <row r="43" spans="1:4" ht="15" customHeight="1" thickTop="1" x14ac:dyDescent="0.2">
      <c r="D43" s="686">
        <f>D41*B42</f>
        <v>0</v>
      </c>
    </row>
    <row r="45" spans="1:4" ht="15" customHeight="1" x14ac:dyDescent="0.2">
      <c r="C45" s="35" t="s">
        <v>209</v>
      </c>
      <c r="D45" s="690">
        <f>ROUND(IF(B13="Domestic",D21,0)+IF(B24="domestic",D32,0)+IF(B35="domestic",D43,0),0)</f>
        <v>0</v>
      </c>
    </row>
    <row r="46" spans="1:4" ht="15" customHeight="1" x14ac:dyDescent="0.2">
      <c r="C46" s="35" t="s">
        <v>210</v>
      </c>
      <c r="D46" s="691">
        <f>ROUND(IF(B13="INTERNATIONAL",D21,0)+IF(B24="INTERNATIONAL",D32,0)+IF(B35="INTERNATIONAL",D43,0),0)</f>
        <v>0</v>
      </c>
    </row>
    <row r="48" spans="1:4" ht="15" customHeight="1" x14ac:dyDescent="0.25">
      <c r="A48" s="752" t="s">
        <v>211</v>
      </c>
      <c r="B48" s="752"/>
      <c r="C48" s="752"/>
      <c r="D48" s="752"/>
    </row>
    <row r="50" spans="1:4" ht="15" customHeight="1" x14ac:dyDescent="0.2">
      <c r="A50" s="692" t="s">
        <v>188</v>
      </c>
    </row>
    <row r="51" spans="1:4" ht="15" customHeight="1" x14ac:dyDescent="0.2">
      <c r="A51" s="664" t="s">
        <v>190</v>
      </c>
      <c r="B51" s="663" t="s">
        <v>191</v>
      </c>
      <c r="C51" s="663" t="s">
        <v>192</v>
      </c>
      <c r="D51" s="663" t="s">
        <v>212</v>
      </c>
    </row>
    <row r="52" spans="1:4" ht="15" customHeight="1" x14ac:dyDescent="0.2">
      <c r="A52" s="693"/>
      <c r="B52" s="35"/>
      <c r="C52" s="694"/>
      <c r="D52" s="695">
        <f>B52*C52</f>
        <v>0</v>
      </c>
    </row>
    <row r="53" spans="1:4" ht="15" customHeight="1" x14ac:dyDescent="0.2">
      <c r="A53" s="494"/>
      <c r="B53" s="35"/>
      <c r="C53" s="694"/>
      <c r="D53" s="695">
        <f t="shared" ref="D53:D58" si="0">B53*C53</f>
        <v>0</v>
      </c>
    </row>
    <row r="54" spans="1:4" ht="15" customHeight="1" x14ac:dyDescent="0.2">
      <c r="A54" s="494"/>
      <c r="C54" s="696"/>
      <c r="D54" s="695">
        <f t="shared" si="0"/>
        <v>0</v>
      </c>
    </row>
    <row r="55" spans="1:4" ht="15" customHeight="1" x14ac:dyDescent="0.2">
      <c r="A55" s="494"/>
      <c r="C55" s="696"/>
      <c r="D55" s="695">
        <f t="shared" si="0"/>
        <v>0</v>
      </c>
    </row>
    <row r="56" spans="1:4" ht="15" customHeight="1" x14ac:dyDescent="0.2">
      <c r="A56" s="494"/>
      <c r="C56" s="696"/>
      <c r="D56" s="695">
        <f t="shared" si="0"/>
        <v>0</v>
      </c>
    </row>
    <row r="57" spans="1:4" ht="15" customHeight="1" x14ac:dyDescent="0.2">
      <c r="A57" s="494"/>
      <c r="C57" s="696"/>
      <c r="D57" s="695">
        <f t="shared" si="0"/>
        <v>0</v>
      </c>
    </row>
    <row r="58" spans="1:4" ht="15" customHeight="1" thickBot="1" x14ac:dyDescent="0.25">
      <c r="A58" s="697"/>
      <c r="B58" s="684"/>
      <c r="C58" s="698"/>
      <c r="D58" s="699">
        <f t="shared" si="0"/>
        <v>0</v>
      </c>
    </row>
    <row r="59" spans="1:4" ht="15" customHeight="1" thickTop="1" x14ac:dyDescent="0.2">
      <c r="D59" s="700">
        <f>SUM(D52:D58)</f>
        <v>0</v>
      </c>
    </row>
    <row r="61" spans="1:4" ht="15" customHeight="1" x14ac:dyDescent="0.25">
      <c r="A61" s="701" t="s">
        <v>213</v>
      </c>
      <c r="B61" s="701"/>
      <c r="C61" s="701"/>
      <c r="D61" s="701"/>
    </row>
    <row r="63" spans="1:4" ht="15" customHeight="1" x14ac:dyDescent="0.2">
      <c r="A63" s="692" t="s">
        <v>214</v>
      </c>
    </row>
    <row r="64" spans="1:4" ht="15" customHeight="1" x14ac:dyDescent="0.2">
      <c r="A64" s="664" t="s">
        <v>190</v>
      </c>
      <c r="B64" s="663" t="s">
        <v>191</v>
      </c>
      <c r="C64" s="663" t="s">
        <v>192</v>
      </c>
      <c r="D64" s="663" t="s">
        <v>212</v>
      </c>
    </row>
    <row r="65" spans="1:4" ht="15" customHeight="1" x14ac:dyDescent="0.2">
      <c r="A65" s="693"/>
      <c r="B65" s="35"/>
      <c r="C65" s="694"/>
      <c r="D65" s="695">
        <f>B65*C65</f>
        <v>0</v>
      </c>
    </row>
    <row r="66" spans="1:4" ht="15" customHeight="1" x14ac:dyDescent="0.2">
      <c r="A66" s="702"/>
      <c r="B66" s="35"/>
      <c r="C66" s="694">
        <v>0</v>
      </c>
      <c r="D66" s="695">
        <f t="shared" ref="D66:D71" si="1">B66*C66</f>
        <v>0</v>
      </c>
    </row>
    <row r="67" spans="1:4" ht="15" customHeight="1" x14ac:dyDescent="0.2">
      <c r="A67" s="702"/>
      <c r="C67" s="696">
        <v>0</v>
      </c>
      <c r="D67" s="695">
        <f t="shared" si="1"/>
        <v>0</v>
      </c>
    </row>
    <row r="68" spans="1:4" ht="15" customHeight="1" x14ac:dyDescent="0.2">
      <c r="A68" s="494"/>
      <c r="C68" s="696">
        <v>0</v>
      </c>
      <c r="D68" s="695">
        <f t="shared" si="1"/>
        <v>0</v>
      </c>
    </row>
    <row r="69" spans="1:4" ht="15" customHeight="1" x14ac:dyDescent="0.2">
      <c r="A69" s="494"/>
      <c r="C69" s="696">
        <v>0</v>
      </c>
      <c r="D69" s="695">
        <f t="shared" si="1"/>
        <v>0</v>
      </c>
    </row>
    <row r="70" spans="1:4" ht="15" customHeight="1" x14ac:dyDescent="0.2">
      <c r="A70" s="494"/>
      <c r="C70" s="696">
        <v>0</v>
      </c>
      <c r="D70" s="695">
        <f t="shared" si="1"/>
        <v>0</v>
      </c>
    </row>
    <row r="71" spans="1:4" ht="15" customHeight="1" thickBot="1" x14ac:dyDescent="0.25">
      <c r="A71" s="697"/>
      <c r="B71" s="684"/>
      <c r="C71" s="698">
        <v>0</v>
      </c>
      <c r="D71" s="695">
        <f t="shared" si="1"/>
        <v>0</v>
      </c>
    </row>
    <row r="72" spans="1:4" ht="15" customHeight="1" thickTop="1" x14ac:dyDescent="0.2">
      <c r="D72" s="703">
        <f>SUM(D65:D71)</f>
        <v>0</v>
      </c>
    </row>
    <row r="73" spans="1:4" ht="15" customHeight="1" x14ac:dyDescent="0.2">
      <c r="A73" s="661" t="s">
        <v>215</v>
      </c>
    </row>
    <row r="74" spans="1:4" ht="15" customHeight="1" x14ac:dyDescent="0.2">
      <c r="A74" s="662" t="s">
        <v>190</v>
      </c>
      <c r="B74" s="663" t="s">
        <v>191</v>
      </c>
      <c r="C74" s="663" t="s">
        <v>192</v>
      </c>
      <c r="D74" s="664"/>
    </row>
    <row r="75" spans="1:4" ht="15" customHeight="1" x14ac:dyDescent="0.2">
      <c r="A75" s="35"/>
      <c r="B75" s="665"/>
      <c r="C75" s="679"/>
      <c r="D75" s="667">
        <f>B75*C75</f>
        <v>0</v>
      </c>
    </row>
    <row r="76" spans="1:4" ht="15" customHeight="1" x14ac:dyDescent="0.2">
      <c r="A76" s="35"/>
      <c r="C76" s="679">
        <v>0</v>
      </c>
      <c r="D76" s="667">
        <f>B76*C76</f>
        <v>0</v>
      </c>
    </row>
    <row r="77" spans="1:4" ht="15" customHeight="1" thickBot="1" x14ac:dyDescent="0.25">
      <c r="A77" s="668"/>
      <c r="B77" s="669"/>
      <c r="C77" s="704">
        <v>0</v>
      </c>
      <c r="D77" s="671">
        <f>B77*C77</f>
        <v>0</v>
      </c>
    </row>
    <row r="78" spans="1:4" ht="15" customHeight="1" thickTop="1" x14ac:dyDescent="0.2">
      <c r="B78" s="35"/>
      <c r="C78" s="35"/>
      <c r="D78" s="705">
        <f>SUM(D75:D77)</f>
        <v>0</v>
      </c>
    </row>
    <row r="79" spans="1:4" ht="15" customHeight="1" x14ac:dyDescent="0.2">
      <c r="A79" s="661" t="s">
        <v>101</v>
      </c>
    </row>
    <row r="80" spans="1:4" ht="15" customHeight="1" x14ac:dyDescent="0.2">
      <c r="A80" s="662" t="s">
        <v>190</v>
      </c>
      <c r="B80" s="663" t="s">
        <v>191</v>
      </c>
      <c r="C80" s="663" t="s">
        <v>192</v>
      </c>
      <c r="D80" s="664"/>
    </row>
    <row r="81" spans="1:4" ht="15" customHeight="1" x14ac:dyDescent="0.2">
      <c r="A81" s="35" t="s">
        <v>216</v>
      </c>
      <c r="B81" s="665"/>
      <c r="C81" s="679"/>
      <c r="D81" s="667">
        <f>B81*C81</f>
        <v>0</v>
      </c>
    </row>
    <row r="82" spans="1:4" ht="15" customHeight="1" x14ac:dyDescent="0.2">
      <c r="A82" s="35" t="s">
        <v>217</v>
      </c>
      <c r="C82" s="679"/>
      <c r="D82" s="667">
        <f t="shared" ref="D82:D83" si="2">B82*C82</f>
        <v>0</v>
      </c>
    </row>
    <row r="83" spans="1:4" ht="15" customHeight="1" thickBot="1" x14ac:dyDescent="0.25">
      <c r="A83" s="668" t="s">
        <v>218</v>
      </c>
      <c r="B83" s="669"/>
      <c r="C83" s="704"/>
      <c r="D83" s="671">
        <f t="shared" si="2"/>
        <v>0</v>
      </c>
    </row>
    <row r="84" spans="1:4" ht="15" customHeight="1" thickTop="1" x14ac:dyDescent="0.2">
      <c r="B84" s="35"/>
      <c r="C84" s="35"/>
      <c r="D84" s="705">
        <f>SUM(D81:D83)</f>
        <v>0</v>
      </c>
    </row>
    <row r="85" spans="1:4" ht="15" customHeight="1" x14ac:dyDescent="0.2">
      <c r="A85" s="706" t="s">
        <v>219</v>
      </c>
    </row>
    <row r="86" spans="1:4" ht="15" customHeight="1" x14ac:dyDescent="0.2">
      <c r="A86" s="707" t="s">
        <v>190</v>
      </c>
      <c r="B86" s="663" t="s">
        <v>205</v>
      </c>
      <c r="C86" s="663" t="s">
        <v>192</v>
      </c>
      <c r="D86" s="664"/>
    </row>
    <row r="87" spans="1:4" ht="15" customHeight="1" x14ac:dyDescent="0.2">
      <c r="A87" s="35"/>
      <c r="B87" s="665"/>
      <c r="C87" s="158"/>
      <c r="D87" s="667">
        <f>B87*C87</f>
        <v>0</v>
      </c>
    </row>
    <row r="88" spans="1:4" ht="15" customHeight="1" x14ac:dyDescent="0.2">
      <c r="A88" s="35"/>
      <c r="C88" s="679"/>
      <c r="D88" s="667">
        <f t="shared" ref="D88:D89" si="3">B88*C88</f>
        <v>0</v>
      </c>
    </row>
    <row r="89" spans="1:4" ht="15" customHeight="1" thickBot="1" x14ac:dyDescent="0.25">
      <c r="A89" s="668"/>
      <c r="B89" s="669"/>
      <c r="C89" s="704"/>
      <c r="D89" s="671">
        <f t="shared" si="3"/>
        <v>0</v>
      </c>
    </row>
    <row r="90" spans="1:4" ht="15" customHeight="1" thickTop="1" x14ac:dyDescent="0.2">
      <c r="B90" s="35"/>
      <c r="C90" s="35"/>
      <c r="D90" s="705">
        <f>SUM(D87:D89)</f>
        <v>0</v>
      </c>
    </row>
  </sheetData>
  <mergeCells count="3">
    <mergeCell ref="A1:D1"/>
    <mergeCell ref="A10:D10"/>
    <mergeCell ref="A48:D48"/>
  </mergeCells>
  <dataValidations count="2">
    <dataValidation allowBlank="1" showInputMessage="1" showErrorMessage="1" promptTitle="2 CFR 200.461" prompt="Publication and printing costs" sqref="A73 A3" xr:uid="{3DAA5840-5B3C-4D92-B765-33C6E30D0DCF}"/>
    <dataValidation type="list" allowBlank="1" showInputMessage="1" showErrorMessage="1" sqref="B13 B24 B35" xr:uid="{1BF0E6C1-36BD-4704-9D61-A97489188BEC}">
      <formula1>"Domestic,International"</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F9621-823B-4870-8399-788E84BFC6D6}">
  <dimension ref="A1:O24"/>
  <sheetViews>
    <sheetView tabSelected="1" workbookViewId="0">
      <selection activeCell="O22" sqref="O22"/>
    </sheetView>
  </sheetViews>
  <sheetFormatPr defaultRowHeight="12.75" x14ac:dyDescent="0.2"/>
  <cols>
    <col min="5" max="6" width="10.28515625" bestFit="1" customWidth="1"/>
    <col min="8" max="9" width="10.28515625" bestFit="1" customWidth="1"/>
    <col min="11" max="11" width="10.28515625" bestFit="1" customWidth="1"/>
    <col min="12" max="12" width="11" customWidth="1"/>
  </cols>
  <sheetData>
    <row r="1" spans="1:12" ht="20.25" x14ac:dyDescent="0.3">
      <c r="A1" s="708" t="s">
        <v>241</v>
      </c>
      <c r="B1" s="103"/>
      <c r="C1" s="103"/>
      <c r="D1" s="103"/>
      <c r="E1" s="103"/>
      <c r="F1" s="103"/>
      <c r="G1" s="103"/>
    </row>
    <row r="2" spans="1:12" ht="13.5" thickBot="1" x14ac:dyDescent="0.25">
      <c r="A2" s="103"/>
      <c r="B2" s="103"/>
      <c r="C2" s="103"/>
      <c r="D2" s="103"/>
      <c r="E2" s="103"/>
      <c r="F2" s="103"/>
      <c r="G2" s="103"/>
    </row>
    <row r="3" spans="1:12" ht="16.5" thickBot="1" x14ac:dyDescent="0.3">
      <c r="A3" s="709" t="s">
        <v>220</v>
      </c>
      <c r="B3" s="710"/>
      <c r="C3" s="710"/>
      <c r="D3" s="710"/>
      <c r="E3" s="710"/>
      <c r="F3" s="711"/>
      <c r="G3" s="103"/>
      <c r="L3" s="106" t="s">
        <v>228</v>
      </c>
    </row>
    <row r="4" spans="1:12" x14ac:dyDescent="0.2">
      <c r="A4" s="712"/>
      <c r="B4" s="756" t="s">
        <v>221</v>
      </c>
      <c r="C4" s="103"/>
      <c r="D4" s="753" t="s">
        <v>222</v>
      </c>
      <c r="E4" s="754"/>
      <c r="F4" s="755"/>
      <c r="G4" s="103"/>
      <c r="L4" s="106" t="s">
        <v>229</v>
      </c>
    </row>
    <row r="5" spans="1:12" x14ac:dyDescent="0.2">
      <c r="A5" s="713" t="s">
        <v>223</v>
      </c>
      <c r="B5" s="756"/>
      <c r="C5" s="103"/>
      <c r="D5" s="714" t="s">
        <v>224</v>
      </c>
      <c r="E5" s="715" t="s">
        <v>225</v>
      </c>
      <c r="F5" s="716" t="s">
        <v>226</v>
      </c>
      <c r="G5" s="103"/>
      <c r="L5" s="106" t="s">
        <v>230</v>
      </c>
    </row>
    <row r="6" spans="1:12" ht="13.5" thickBot="1" x14ac:dyDescent="0.25">
      <c r="A6" s="717" t="s">
        <v>227</v>
      </c>
      <c r="B6" s="718"/>
      <c r="C6" s="719">
        <v>0.5</v>
      </c>
      <c r="D6" s="720">
        <v>2688.89</v>
      </c>
      <c r="E6" s="721">
        <v>24200</v>
      </c>
      <c r="F6" s="722">
        <v>29577.79</v>
      </c>
      <c r="G6" s="103"/>
    </row>
    <row r="7" spans="1:12" ht="13.5" thickBot="1" x14ac:dyDescent="0.25">
      <c r="A7" s="723"/>
      <c r="B7" s="724"/>
      <c r="C7" s="725"/>
      <c r="D7" s="726"/>
      <c r="E7" s="727"/>
      <c r="F7" s="728"/>
      <c r="G7" s="103"/>
    </row>
    <row r="8" spans="1:12" x14ac:dyDescent="0.2">
      <c r="A8" s="103"/>
      <c r="B8" s="103"/>
      <c r="C8" s="103"/>
      <c r="D8" s="103"/>
      <c r="E8" s="103"/>
      <c r="F8" s="103"/>
      <c r="G8" s="103"/>
    </row>
    <row r="9" spans="1:12" ht="20.25" x14ac:dyDescent="0.3">
      <c r="A9" s="708" t="s">
        <v>242</v>
      </c>
      <c r="B9" s="103"/>
      <c r="C9" s="103"/>
      <c r="D9" s="103"/>
      <c r="E9" s="103"/>
      <c r="F9" s="103"/>
      <c r="G9" s="103"/>
    </row>
    <row r="10" spans="1:12" ht="13.5" thickBot="1" x14ac:dyDescent="0.25">
      <c r="A10" s="103"/>
      <c r="B10" s="103"/>
      <c r="C10" s="103"/>
      <c r="D10" s="103"/>
      <c r="E10" s="103"/>
      <c r="F10" s="103"/>
      <c r="G10" s="103"/>
    </row>
    <row r="11" spans="1:12" ht="16.5" thickBot="1" x14ac:dyDescent="0.3">
      <c r="A11" s="709" t="s">
        <v>231</v>
      </c>
      <c r="B11" s="710"/>
      <c r="C11" s="710"/>
      <c r="D11" s="710"/>
      <c r="E11" s="710"/>
      <c r="F11" s="711"/>
      <c r="L11" s="106" t="s">
        <v>232</v>
      </c>
    </row>
    <row r="12" spans="1:12" x14ac:dyDescent="0.2">
      <c r="A12" s="712"/>
      <c r="B12" s="756" t="s">
        <v>221</v>
      </c>
      <c r="C12" s="103"/>
      <c r="D12" s="753" t="s">
        <v>222</v>
      </c>
      <c r="E12" s="754"/>
      <c r="F12" s="755"/>
      <c r="L12" s="106" t="s">
        <v>229</v>
      </c>
    </row>
    <row r="13" spans="1:12" x14ac:dyDescent="0.2">
      <c r="A13" s="713" t="s">
        <v>223</v>
      </c>
      <c r="B13" s="756"/>
      <c r="C13" s="103"/>
      <c r="D13" s="714" t="s">
        <v>224</v>
      </c>
      <c r="E13" s="715" t="s">
        <v>225</v>
      </c>
      <c r="F13" s="716" t="s">
        <v>226</v>
      </c>
      <c r="L13" s="106" t="s">
        <v>230</v>
      </c>
    </row>
    <row r="14" spans="1:12" ht="13.5" thickBot="1" x14ac:dyDescent="0.25">
      <c r="A14" s="717" t="s">
        <v>227</v>
      </c>
      <c r="B14" s="718"/>
      <c r="C14" s="719">
        <v>0.5</v>
      </c>
      <c r="D14" s="720">
        <v>3124.68</v>
      </c>
      <c r="E14" s="721">
        <v>28122.1</v>
      </c>
      <c r="F14" s="722">
        <v>34371.46</v>
      </c>
    </row>
    <row r="15" spans="1:12" ht="13.5" thickBot="1" x14ac:dyDescent="0.25">
      <c r="A15" s="723"/>
      <c r="B15" s="724"/>
      <c r="C15" s="725"/>
      <c r="D15" s="726"/>
      <c r="E15" s="727"/>
      <c r="F15" s="728"/>
    </row>
    <row r="18" spans="1:15" ht="20.25" x14ac:dyDescent="0.3">
      <c r="A18" s="708" t="s">
        <v>243</v>
      </c>
      <c r="B18" s="103"/>
      <c r="C18" s="103"/>
      <c r="D18" s="103"/>
      <c r="E18" s="103"/>
      <c r="F18" s="103"/>
      <c r="G18" s="103"/>
      <c r="H18" s="103"/>
      <c r="I18" s="103"/>
      <c r="J18" s="103"/>
      <c r="K18" s="103"/>
      <c r="L18" s="103"/>
    </row>
    <row r="19" spans="1:15" ht="13.5" thickBot="1" x14ac:dyDescent="0.25">
      <c r="A19" s="103"/>
      <c r="B19" s="103"/>
      <c r="C19" s="103"/>
      <c r="D19" s="103"/>
      <c r="E19" s="103"/>
      <c r="F19" s="103"/>
      <c r="G19" s="729">
        <f>E23</f>
        <v>26596.26</v>
      </c>
      <c r="H19" s="729">
        <f>F23</f>
        <v>32506.54</v>
      </c>
      <c r="I19" s="729">
        <f>H23</f>
        <v>27321.17</v>
      </c>
      <c r="J19" s="729">
        <f>I23</f>
        <v>33392.54</v>
      </c>
      <c r="K19" s="729">
        <f>K23</f>
        <v>28046.080000000002</v>
      </c>
      <c r="L19" s="729">
        <f>L23</f>
        <v>34278.550000000003</v>
      </c>
    </row>
    <row r="20" spans="1:15" ht="16.5" thickBot="1" x14ac:dyDescent="0.3">
      <c r="A20" s="709" t="s">
        <v>233</v>
      </c>
      <c r="B20" s="710"/>
      <c r="C20" s="710"/>
      <c r="D20" s="710"/>
      <c r="E20" s="710"/>
      <c r="F20" s="710"/>
      <c r="G20" s="710"/>
      <c r="H20" s="710"/>
      <c r="I20" s="710"/>
      <c r="J20" s="710"/>
      <c r="K20" s="710"/>
      <c r="L20" s="711"/>
      <c r="O20" s="106" t="s">
        <v>239</v>
      </c>
    </row>
    <row r="21" spans="1:15" x14ac:dyDescent="0.2">
      <c r="A21" s="712"/>
      <c r="B21" s="757"/>
      <c r="C21" s="103"/>
      <c r="D21" s="758" t="s">
        <v>234</v>
      </c>
      <c r="E21" s="759"/>
      <c r="F21" s="760"/>
      <c r="G21" s="753" t="s">
        <v>235</v>
      </c>
      <c r="H21" s="754"/>
      <c r="I21" s="754"/>
      <c r="J21" s="753" t="s">
        <v>236</v>
      </c>
      <c r="K21" s="754"/>
      <c r="L21" s="755"/>
      <c r="O21" s="106" t="s">
        <v>229</v>
      </c>
    </row>
    <row r="22" spans="1:15" x14ac:dyDescent="0.2">
      <c r="A22" s="713" t="s">
        <v>223</v>
      </c>
      <c r="B22" s="756"/>
      <c r="C22" s="103"/>
      <c r="D22" s="714" t="s">
        <v>224</v>
      </c>
      <c r="E22" s="715" t="s">
        <v>225</v>
      </c>
      <c r="F22" s="715" t="s">
        <v>226</v>
      </c>
      <c r="G22" s="714" t="s">
        <v>224</v>
      </c>
      <c r="H22" s="715" t="s">
        <v>225</v>
      </c>
      <c r="I22" s="715" t="s">
        <v>237</v>
      </c>
      <c r="J22" s="714" t="s">
        <v>238</v>
      </c>
      <c r="K22" s="715" t="s">
        <v>225</v>
      </c>
      <c r="L22" s="716" t="s">
        <v>237</v>
      </c>
      <c r="O22" s="106" t="s">
        <v>230</v>
      </c>
    </row>
    <row r="23" spans="1:15" ht="13.5" thickBot="1" x14ac:dyDescent="0.25">
      <c r="A23" s="717" t="s">
        <v>227</v>
      </c>
      <c r="B23" s="718"/>
      <c r="C23" s="719">
        <v>0.5</v>
      </c>
      <c r="D23" s="720">
        <v>2995.14</v>
      </c>
      <c r="E23" s="721">
        <v>26596.26</v>
      </c>
      <c r="F23" s="722">
        <v>32506.54</v>
      </c>
      <c r="G23" s="720">
        <v>3035.69</v>
      </c>
      <c r="H23" s="721">
        <v>27321.17</v>
      </c>
      <c r="I23" s="722">
        <v>33392.54</v>
      </c>
      <c r="J23" s="720">
        <v>3116.23</v>
      </c>
      <c r="K23" s="721">
        <v>28046.080000000002</v>
      </c>
      <c r="L23" s="722">
        <v>34278.550000000003</v>
      </c>
    </row>
    <row r="24" spans="1:15" ht="13.5" thickBot="1" x14ac:dyDescent="0.25">
      <c r="A24" s="723"/>
      <c r="B24" s="724"/>
      <c r="C24" s="725"/>
      <c r="D24" s="726"/>
      <c r="E24" s="727"/>
      <c r="F24" s="727"/>
      <c r="G24" s="727"/>
      <c r="H24" s="727"/>
      <c r="I24" s="727"/>
      <c r="J24" s="727"/>
      <c r="K24" s="727"/>
      <c r="L24" s="728"/>
    </row>
  </sheetData>
  <mergeCells count="8">
    <mergeCell ref="G21:I21"/>
    <mergeCell ref="J21:L21"/>
    <mergeCell ref="B4:B5"/>
    <mergeCell ref="D4:F4"/>
    <mergeCell ref="B12:B13"/>
    <mergeCell ref="D12:F12"/>
    <mergeCell ref="B21:B22"/>
    <mergeCell ref="D21:F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pageSetUpPr fitToPage="1"/>
  </sheetPr>
  <dimension ref="A1:AX164"/>
  <sheetViews>
    <sheetView showGridLines="0" zoomScale="115" zoomScaleNormal="115" workbookViewId="0">
      <pane ySplit="10" topLeftCell="A11" activePane="bottomLeft" state="frozen"/>
      <selection activeCell="D12" sqref="D12"/>
      <selection pane="bottomLeft" activeCell="J5" sqref="J5"/>
    </sheetView>
  </sheetViews>
  <sheetFormatPr defaultColWidth="9.140625" defaultRowHeight="12.75" x14ac:dyDescent="0.2"/>
  <cols>
    <col min="1" max="1" width="3.42578125" style="132" customWidth="1"/>
    <col min="2" max="2" width="17.140625" style="108" customWidth="1"/>
    <col min="3" max="3" width="9.5703125" style="103" customWidth="1"/>
    <col min="4" max="4" width="7.85546875" style="103" customWidth="1"/>
    <col min="5" max="5" width="13.28515625" style="104" customWidth="1"/>
    <col min="6" max="9" width="13.28515625" style="14" customWidth="1"/>
    <col min="10" max="10" width="13.28515625" style="56" customWidth="1"/>
    <col min="11" max="11" width="9.140625" style="103" customWidth="1"/>
    <col min="12" max="16384" width="9.140625" style="103"/>
  </cols>
  <sheetData>
    <row r="1" spans="1:50" ht="10.5" customHeight="1" x14ac:dyDescent="0.2">
      <c r="A1" s="173" t="s">
        <v>18</v>
      </c>
      <c r="B1" s="174"/>
      <c r="C1" s="765"/>
      <c r="D1" s="765"/>
      <c r="E1" s="765"/>
      <c r="F1" s="660" t="s">
        <v>9</v>
      </c>
      <c r="G1" s="175"/>
      <c r="H1" s="175"/>
      <c r="I1" s="175"/>
      <c r="J1" s="148" t="str">
        <f>IF(AND($C$1=$Y$4,$C$2=$Z$3),$Z$4,IF(AND($C$1=$Y$4,$C$2=$AA$3),$AA$4,IF(AND($C$1=$Y$5,$C$2=$Z$3),$Z$5,IF(AND($C$1=$Y$5,$C$2=$AA$3),$AA$5,IF(AND($C$1=$Y$6,$C$2=$Z$3),$Z$6,IF(AND($C$1=$Y$6,$C$2=$AA$3),AA6,IF($C$1=$Y$7,$Z$7,IF($C$1=$Y$8,$Z$8,IF(AND($C$1=$Y$9,$C$2=$Z$3),$Z$4,IF(AND($C$1=$Y$9,$C$2=$AA$3),$AA$4,"TBD"))))))))))</f>
        <v>TBD</v>
      </c>
      <c r="K1"/>
      <c r="L1"/>
      <c r="M1" s="415"/>
    </row>
    <row r="2" spans="1:50" ht="10.5" customHeight="1" x14ac:dyDescent="0.2">
      <c r="A2" s="176" t="s">
        <v>17</v>
      </c>
      <c r="B2" s="150"/>
      <c r="C2" s="741"/>
      <c r="D2" s="741"/>
      <c r="E2" s="741"/>
      <c r="F2" s="660" t="s">
        <v>65</v>
      </c>
      <c r="G2" s="150"/>
      <c r="H2" s="150"/>
      <c r="I2" s="150"/>
      <c r="J2" s="151" t="str">
        <f>IF($C$1=Y4,AC4,IF($C$1=Y5,AC4,IF($C$1=Y6,AC4, IF($C$1=Y9,AC4,IF($C$1=Y7,AC5,IF($C$1=Y8,AC5,AC4))))))</f>
        <v>MTDC</v>
      </c>
    </row>
    <row r="3" spans="1:50" ht="11.25" customHeight="1" x14ac:dyDescent="0.2">
      <c r="A3" s="176" t="s">
        <v>49</v>
      </c>
      <c r="B3" s="150"/>
      <c r="C3" s="271" t="str">
        <f>$J$1</f>
        <v>TBD</v>
      </c>
      <c r="D3" s="273" t="s">
        <v>27</v>
      </c>
      <c r="E3" s="177"/>
      <c r="F3" s="660" t="s">
        <v>10</v>
      </c>
      <c r="G3" s="178"/>
      <c r="H3" s="178"/>
      <c r="I3" s="178"/>
      <c r="J3" s="151">
        <f>IF(C1="Other Sponsored Activity", 60%, 64%)</f>
        <v>0.64</v>
      </c>
      <c r="Y3" s="15"/>
      <c r="Z3" t="s">
        <v>14</v>
      </c>
      <c r="AA3" t="s">
        <v>15</v>
      </c>
      <c r="AB3"/>
      <c r="AC3" s="11" t="s">
        <v>26</v>
      </c>
      <c r="AD3" s="103" t="s">
        <v>50</v>
      </c>
      <c r="AE3" s="103" t="s">
        <v>51</v>
      </c>
    </row>
    <row r="4" spans="1:50" ht="10.5" customHeight="1" x14ac:dyDescent="0.2">
      <c r="A4" s="766" t="s">
        <v>114</v>
      </c>
      <c r="B4" s="767"/>
      <c r="C4" s="269">
        <v>0.3</v>
      </c>
      <c r="D4" s="273" t="s">
        <v>81</v>
      </c>
      <c r="E4" s="179"/>
      <c r="F4" s="660" t="s">
        <v>11</v>
      </c>
      <c r="G4" s="178"/>
      <c r="H4" s="178"/>
      <c r="I4" s="178"/>
      <c r="J4" s="151">
        <v>0.40889999999999999</v>
      </c>
      <c r="Y4" t="s">
        <v>59</v>
      </c>
      <c r="Z4" s="16">
        <v>0.59499999999999997</v>
      </c>
      <c r="AA4" s="16">
        <v>0.26</v>
      </c>
      <c r="AB4"/>
      <c r="AC4" s="17" t="s">
        <v>27</v>
      </c>
      <c r="AD4" s="16">
        <v>0.3</v>
      </c>
      <c r="AE4" s="105">
        <f>(1/(1-AD4))-1</f>
        <v>0.4285714285714286</v>
      </c>
    </row>
    <row r="5" spans="1:50" ht="11.25" customHeight="1" thickBot="1" x14ac:dyDescent="0.25">
      <c r="A5" s="766" t="s">
        <v>52</v>
      </c>
      <c r="B5" s="767"/>
      <c r="C5" s="270" t="str">
        <f>IF(OR($E$85=0,$C$1="",$C$2="",$C$4=""),"TBD",IF($C$86&lt;$C$87,$C$3,IF($C$4=$AD$4,$AE$4,IF($C$4=$AD$5,$AE$5,IF($C$4=$AD$6,$AE$6)))))</f>
        <v>TBD</v>
      </c>
      <c r="D5" s="272" t="str">
        <f>IF(OR($E$85=0,$C$1="",$C$2="",$C$4=""),"TBD",IF(C86&lt;C87,"MTDC","Other-Direct Less Sub(s)"))</f>
        <v>TBD</v>
      </c>
      <c r="E5" s="177"/>
      <c r="F5" s="660" t="s">
        <v>163</v>
      </c>
      <c r="G5" s="178"/>
      <c r="H5" s="178"/>
      <c r="I5" s="178"/>
      <c r="J5" s="151">
        <v>8.5500000000000007E-2</v>
      </c>
      <c r="Y5" t="s">
        <v>60</v>
      </c>
      <c r="Z5" s="16">
        <v>0.433</v>
      </c>
      <c r="AA5" s="16">
        <v>0.26</v>
      </c>
      <c r="AB5"/>
      <c r="AC5" s="17" t="s">
        <v>28</v>
      </c>
      <c r="AD5" s="16">
        <v>0.22</v>
      </c>
      <c r="AE5" s="105">
        <f>(1/(1-AD5))-1</f>
        <v>0.28205128205128194</v>
      </c>
    </row>
    <row r="6" spans="1:50" ht="12.6" customHeight="1" x14ac:dyDescent="0.2">
      <c r="A6" s="768" t="s">
        <v>107</v>
      </c>
      <c r="B6" s="769"/>
      <c r="C6" s="769"/>
      <c r="D6" s="769"/>
      <c r="E6" s="770"/>
      <c r="F6" s="660" t="s">
        <v>164</v>
      </c>
      <c r="J6" s="151">
        <v>0.16200000000000001</v>
      </c>
      <c r="Y6" t="s">
        <v>16</v>
      </c>
      <c r="Z6" s="16">
        <v>0.308</v>
      </c>
      <c r="AA6" s="16">
        <v>0.219</v>
      </c>
      <c r="AB6"/>
      <c r="AC6" s="17" t="s">
        <v>61</v>
      </c>
      <c r="AD6" s="16">
        <v>0.15</v>
      </c>
      <c r="AE6" s="105">
        <f>(1/(1-AD6))-1</f>
        <v>0.17647058823529416</v>
      </c>
    </row>
    <row r="7" spans="1:50" ht="12.6" customHeight="1" x14ac:dyDescent="0.2">
      <c r="A7" s="771"/>
      <c r="B7" s="772"/>
      <c r="C7" s="772"/>
      <c r="D7" s="772"/>
      <c r="E7" s="773"/>
      <c r="F7" s="660" t="s">
        <v>161</v>
      </c>
      <c r="G7" s="178"/>
      <c r="H7" s="178"/>
      <c r="I7" s="178"/>
      <c r="J7" s="153">
        <v>1E-4</v>
      </c>
      <c r="Y7" t="s">
        <v>62</v>
      </c>
      <c r="Z7" s="141">
        <v>0</v>
      </c>
      <c r="AA7" s="141"/>
    </row>
    <row r="8" spans="1:50" ht="12.6" customHeight="1" x14ac:dyDescent="0.2">
      <c r="A8" s="771"/>
      <c r="B8" s="772"/>
      <c r="C8" s="772"/>
      <c r="D8" s="772"/>
      <c r="E8" s="773"/>
      <c r="F8" s="660" t="s">
        <v>162</v>
      </c>
      <c r="G8" s="178"/>
      <c r="H8" s="178"/>
      <c r="I8" s="178"/>
      <c r="J8" s="151">
        <v>7.6600000000000001E-2</v>
      </c>
      <c r="Y8" t="s">
        <v>63</v>
      </c>
      <c r="Z8" s="141">
        <v>0.26</v>
      </c>
      <c r="AA8" s="141"/>
    </row>
    <row r="9" spans="1:50" ht="12.6" customHeight="1" x14ac:dyDescent="0.2">
      <c r="A9" s="771"/>
      <c r="B9" s="772"/>
      <c r="C9" s="772"/>
      <c r="D9" s="772"/>
      <c r="E9" s="773"/>
      <c r="F9" s="206" t="s">
        <v>38</v>
      </c>
      <c r="G9" s="178"/>
      <c r="H9" s="178"/>
      <c r="I9" s="178"/>
      <c r="J9" s="280">
        <v>0.03</v>
      </c>
      <c r="Y9" s="249" t="s">
        <v>64</v>
      </c>
      <c r="Z9" s="16"/>
      <c r="AA9" s="141"/>
    </row>
    <row r="10" spans="1:50" ht="13.5" thickBot="1" x14ac:dyDescent="0.25">
      <c r="A10" s="771"/>
      <c r="B10" s="772"/>
      <c r="C10" s="772"/>
      <c r="D10" s="772"/>
      <c r="E10" s="773"/>
      <c r="F10" s="212" t="s">
        <v>39</v>
      </c>
      <c r="G10" s="210"/>
      <c r="H10" s="211"/>
      <c r="I10" s="244"/>
      <c r="J10" s="407">
        <v>0.04</v>
      </c>
      <c r="AA10" s="16"/>
    </row>
    <row r="11" spans="1:50" s="106" customFormat="1" ht="15.95" customHeight="1" x14ac:dyDescent="0.35">
      <c r="A11" s="423"/>
      <c r="B11" s="424"/>
      <c r="C11" s="425"/>
      <c r="D11" s="425"/>
      <c r="E11" s="417" t="s">
        <v>74</v>
      </c>
      <c r="F11" s="418" t="s">
        <v>75</v>
      </c>
      <c r="G11" s="418" t="s">
        <v>76</v>
      </c>
      <c r="H11" s="418" t="s">
        <v>77</v>
      </c>
      <c r="I11" s="418" t="s">
        <v>78</v>
      </c>
      <c r="J11" s="419" t="s">
        <v>0</v>
      </c>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row>
    <row r="12" spans="1:50" s="106" customFormat="1" ht="15" x14ac:dyDescent="0.35">
      <c r="A12" s="20" t="s">
        <v>1</v>
      </c>
      <c r="B12" s="161" t="s">
        <v>86</v>
      </c>
      <c r="E12" s="416"/>
      <c r="F12" s="420"/>
      <c r="G12" s="420"/>
      <c r="H12" s="420"/>
      <c r="I12" s="420"/>
      <c r="J12" s="57"/>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row>
    <row r="13" spans="1:50" ht="12.75" customHeight="1" x14ac:dyDescent="0.2">
      <c r="A13" s="107"/>
      <c r="B13" s="142" t="s">
        <v>73</v>
      </c>
      <c r="C13" s="110" t="s">
        <v>20</v>
      </c>
      <c r="D13" s="277"/>
      <c r="E13" s="1">
        <v>0</v>
      </c>
      <c r="F13" s="2">
        <f>ROUND(E13*(1+$J$9),0)</f>
        <v>0</v>
      </c>
      <c r="G13" s="2">
        <f>ROUND(F13*(1+$J$9),0)</f>
        <v>0</v>
      </c>
      <c r="H13" s="2">
        <f>ROUND(G13*(1+$J$9),0)</f>
        <v>0</v>
      </c>
      <c r="I13" s="2">
        <f>ROUND(H13*(1+$J$9),0)</f>
        <v>0</v>
      </c>
      <c r="J13" s="24">
        <f>SUM(E13:I13)</f>
        <v>0</v>
      </c>
    </row>
    <row r="14" spans="1:50" ht="12.75" customHeight="1" x14ac:dyDescent="0.2">
      <c r="A14" s="107"/>
      <c r="B14" s="274"/>
      <c r="C14" s="182" t="s">
        <v>21</v>
      </c>
      <c r="D14" s="144">
        <f>$J$4</f>
        <v>0.40889999999999999</v>
      </c>
      <c r="E14" s="171">
        <f>ROUND(E13*$D14,0)</f>
        <v>0</v>
      </c>
      <c r="F14" s="171">
        <f>ROUND(F13*$D14,0)</f>
        <v>0</v>
      </c>
      <c r="G14" s="171">
        <f>ROUND(G13*$D14,0)</f>
        <v>0</v>
      </c>
      <c r="H14" s="171">
        <f>ROUND(H13*$D14,0)</f>
        <v>0</v>
      </c>
      <c r="I14" s="171">
        <f>ROUND(I13*$D14,0)</f>
        <v>0</v>
      </c>
      <c r="J14" s="172">
        <f t="shared" ref="J14:J28" si="0">SUM(E14:I14)</f>
        <v>0</v>
      </c>
    </row>
    <row r="15" spans="1:50" ht="12.75" customHeight="1" x14ac:dyDescent="0.2">
      <c r="A15" s="107"/>
      <c r="B15" s="142" t="s">
        <v>69</v>
      </c>
      <c r="C15" s="110" t="s">
        <v>20</v>
      </c>
      <c r="D15" s="277"/>
      <c r="E15" s="2">
        <v>0</v>
      </c>
      <c r="F15" s="2">
        <f>ROUND(E15*(1+$J$9), 0)</f>
        <v>0</v>
      </c>
      <c r="G15" s="2">
        <f>ROUND(F15*(1+$J$9), 0)</f>
        <v>0</v>
      </c>
      <c r="H15" s="2">
        <f>ROUND(G15*(1+$J$9), 0)</f>
        <v>0</v>
      </c>
      <c r="I15" s="2">
        <f>ROUND(H15*(1+$J$9), 0)</f>
        <v>0</v>
      </c>
      <c r="J15" s="24">
        <f t="shared" si="0"/>
        <v>0</v>
      </c>
    </row>
    <row r="16" spans="1:50" ht="12.75" customHeight="1" x14ac:dyDescent="0.2">
      <c r="A16" s="107"/>
      <c r="B16" s="274"/>
      <c r="C16" s="182" t="s">
        <v>21</v>
      </c>
      <c r="D16" s="144">
        <f>$J$4</f>
        <v>0.40889999999999999</v>
      </c>
      <c r="E16" s="171">
        <f>ROUND(E15*$D16,0)</f>
        <v>0</v>
      </c>
      <c r="F16" s="171">
        <f>ROUND(F15*$D16,0)</f>
        <v>0</v>
      </c>
      <c r="G16" s="171">
        <f>ROUND(G15*$D16,0)</f>
        <v>0</v>
      </c>
      <c r="H16" s="171">
        <f>ROUND(H15*$D16,0)</f>
        <v>0</v>
      </c>
      <c r="I16" s="171">
        <f>ROUND(I15*$D16,0)</f>
        <v>0</v>
      </c>
      <c r="J16" s="172">
        <f t="shared" si="0"/>
        <v>0</v>
      </c>
    </row>
    <row r="17" spans="1:10" x14ac:dyDescent="0.2">
      <c r="A17" s="107"/>
      <c r="B17" s="142" t="s">
        <v>70</v>
      </c>
      <c r="C17" s="110" t="s">
        <v>20</v>
      </c>
      <c r="D17" s="277"/>
      <c r="E17" s="2">
        <v>0</v>
      </c>
      <c r="F17" s="2">
        <f>ROUND(E17*(1+$J$9), 0)</f>
        <v>0</v>
      </c>
      <c r="G17" s="2">
        <f>ROUND(F17*(1+$J$9), 0)</f>
        <v>0</v>
      </c>
      <c r="H17" s="2">
        <f>ROUND(G17*(1+$J$9), 0)</f>
        <v>0</v>
      </c>
      <c r="I17" s="2">
        <f>ROUND(H17*(1+$J$9), 0)</f>
        <v>0</v>
      </c>
      <c r="J17" s="24">
        <f t="shared" si="0"/>
        <v>0</v>
      </c>
    </row>
    <row r="18" spans="1:10" x14ac:dyDescent="0.2">
      <c r="A18" s="107"/>
      <c r="B18" s="274"/>
      <c r="C18" s="182" t="s">
        <v>21</v>
      </c>
      <c r="D18" s="144">
        <f>$J$4</f>
        <v>0.40889999999999999</v>
      </c>
      <c r="E18" s="171">
        <f>ROUND(E17*$D18,0)</f>
        <v>0</v>
      </c>
      <c r="F18" s="171">
        <f>ROUND(F17*$D18,0)</f>
        <v>0</v>
      </c>
      <c r="G18" s="171">
        <f>ROUND(G17*$D18,0)</f>
        <v>0</v>
      </c>
      <c r="H18" s="171">
        <f>ROUND(H17*$D18,0)</f>
        <v>0</v>
      </c>
      <c r="I18" s="171">
        <f>ROUND(I17*$D18,0)</f>
        <v>0</v>
      </c>
      <c r="J18" s="172">
        <f>SUM(E18:I18)</f>
        <v>0</v>
      </c>
    </row>
    <row r="19" spans="1:10" x14ac:dyDescent="0.2">
      <c r="A19" s="107"/>
      <c r="B19" s="142" t="s">
        <v>71</v>
      </c>
      <c r="C19" s="110" t="s">
        <v>20</v>
      </c>
      <c r="D19" s="277"/>
      <c r="E19" s="2">
        <v>0</v>
      </c>
      <c r="F19" s="2">
        <f>ROUND(E19*(1+$J$9), 0)</f>
        <v>0</v>
      </c>
      <c r="G19" s="2">
        <f>ROUND(F19*(1+$J$9), 0)</f>
        <v>0</v>
      </c>
      <c r="H19" s="2">
        <f>ROUND(G19*(1+$J$9), 0)</f>
        <v>0</v>
      </c>
      <c r="I19" s="2">
        <f>ROUND(H19*(1+$J$9), 0)</f>
        <v>0</v>
      </c>
      <c r="J19" s="24">
        <f t="shared" si="0"/>
        <v>0</v>
      </c>
    </row>
    <row r="20" spans="1:10" x14ac:dyDescent="0.2">
      <c r="A20" s="107"/>
      <c r="B20" s="274"/>
      <c r="C20" s="182" t="s">
        <v>21</v>
      </c>
      <c r="D20" s="144">
        <f>$J$4</f>
        <v>0.40889999999999999</v>
      </c>
      <c r="E20" s="171">
        <f>ROUND(E19*$D20,0)</f>
        <v>0</v>
      </c>
      <c r="F20" s="171">
        <f>ROUND(F19*$D20,0)</f>
        <v>0</v>
      </c>
      <c r="G20" s="171">
        <f>ROUND(G19*$D20,0)</f>
        <v>0</v>
      </c>
      <c r="H20" s="171">
        <f>ROUND(H19*$D20,0)</f>
        <v>0</v>
      </c>
      <c r="I20" s="171">
        <f>ROUND(I19*$D20,0)</f>
        <v>0</v>
      </c>
      <c r="J20" s="172">
        <f t="shared" si="0"/>
        <v>0</v>
      </c>
    </row>
    <row r="21" spans="1:10" x14ac:dyDescent="0.2">
      <c r="A21" s="107"/>
      <c r="B21" s="142" t="s">
        <v>72</v>
      </c>
      <c r="C21" s="110" t="s">
        <v>20</v>
      </c>
      <c r="D21" s="277"/>
      <c r="E21" s="2">
        <v>0</v>
      </c>
      <c r="F21" s="2">
        <f>ROUND(E21*(1+$J$9), 0)</f>
        <v>0</v>
      </c>
      <c r="G21" s="2">
        <f>ROUND(F21*(1+$J$9), 0)</f>
        <v>0</v>
      </c>
      <c r="H21" s="2">
        <f>ROUND(G21*(1+$J$9), 0)</f>
        <v>0</v>
      </c>
      <c r="I21" s="2">
        <f>ROUND(H21*(1+$J$9), 0)</f>
        <v>0</v>
      </c>
      <c r="J21" s="24">
        <f t="shared" si="0"/>
        <v>0</v>
      </c>
    </row>
    <row r="22" spans="1:10" x14ac:dyDescent="0.2">
      <c r="A22" s="107"/>
      <c r="B22" s="275"/>
      <c r="C22" s="182" t="s">
        <v>21</v>
      </c>
      <c r="D22" s="144">
        <f>$J$4</f>
        <v>0.40889999999999999</v>
      </c>
      <c r="E22" s="171">
        <f>ROUND(E21*$D22,0)</f>
        <v>0</v>
      </c>
      <c r="F22" s="171">
        <f>ROUND(F21*$D22,0)</f>
        <v>0</v>
      </c>
      <c r="G22" s="171">
        <f>ROUND(G21*$D22,0)</f>
        <v>0</v>
      </c>
      <c r="H22" s="171">
        <f>ROUND(H21*$D22,0)</f>
        <v>0</v>
      </c>
      <c r="I22" s="171">
        <f>ROUND(I21*$D22,0)</f>
        <v>0</v>
      </c>
      <c r="J22" s="172">
        <f t="shared" si="0"/>
        <v>0</v>
      </c>
    </row>
    <row r="23" spans="1:10" x14ac:dyDescent="0.2">
      <c r="A23" s="107"/>
      <c r="B23" s="109" t="s">
        <v>22</v>
      </c>
      <c r="C23" s="110" t="s">
        <v>20</v>
      </c>
      <c r="D23" s="277"/>
      <c r="E23" s="2">
        <v>0</v>
      </c>
      <c r="F23" s="2">
        <f>ROUND(E23*(1+$J$9), 0)</f>
        <v>0</v>
      </c>
      <c r="G23" s="2">
        <f>ROUND(F23*(1+$J$9), 0)</f>
        <v>0</v>
      </c>
      <c r="H23" s="2">
        <f>ROUND(G23*(1+$J$9), 0)</f>
        <v>0</v>
      </c>
      <c r="I23" s="2">
        <f>ROUND(H23*(1+$J$9), 0)</f>
        <v>0</v>
      </c>
      <c r="J23" s="24">
        <f t="shared" si="0"/>
        <v>0</v>
      </c>
    </row>
    <row r="24" spans="1:10" x14ac:dyDescent="0.2">
      <c r="A24" s="107"/>
      <c r="B24" s="275"/>
      <c r="C24" s="182" t="s">
        <v>21</v>
      </c>
      <c r="D24" s="144">
        <f>$J$4</f>
        <v>0.40889999999999999</v>
      </c>
      <c r="E24" s="171">
        <f>ROUND(E23*$D24,0)</f>
        <v>0</v>
      </c>
      <c r="F24" s="171">
        <f>ROUND(F23*$D24,0)</f>
        <v>0</v>
      </c>
      <c r="G24" s="171">
        <f>ROUND(G23*$D24,0)</f>
        <v>0</v>
      </c>
      <c r="H24" s="171">
        <f>ROUND(H23*$D24,0)</f>
        <v>0</v>
      </c>
      <c r="I24" s="171">
        <f>ROUND(I23*$D24,0)</f>
        <v>0</v>
      </c>
      <c r="J24" s="172">
        <f t="shared" si="0"/>
        <v>0</v>
      </c>
    </row>
    <row r="25" spans="1:10" ht="4.5" customHeight="1" x14ac:dyDescent="0.2">
      <c r="A25" s="107"/>
      <c r="C25" s="111"/>
      <c r="D25" s="112"/>
      <c r="E25" s="13"/>
      <c r="F25" s="13"/>
      <c r="G25" s="13"/>
      <c r="H25" s="13"/>
      <c r="I25" s="13"/>
      <c r="J25" s="24"/>
    </row>
    <row r="26" spans="1:10" x14ac:dyDescent="0.2">
      <c r="A26" s="107"/>
      <c r="B26" s="204" t="s">
        <v>91</v>
      </c>
      <c r="C26" s="114" t="s">
        <v>20</v>
      </c>
      <c r="D26" s="112"/>
      <c r="E26" s="13">
        <f>SUMIF($C$13:$C$25,$C26,E$13:E$25)</f>
        <v>0</v>
      </c>
      <c r="F26" s="13">
        <f t="shared" ref="F26:I27" si="1">SUMIF($C$13:$C$25,$C26,F$13:F$25)</f>
        <v>0</v>
      </c>
      <c r="G26" s="13">
        <f t="shared" si="1"/>
        <v>0</v>
      </c>
      <c r="H26" s="13">
        <f t="shared" si="1"/>
        <v>0</v>
      </c>
      <c r="I26" s="13">
        <f t="shared" si="1"/>
        <v>0</v>
      </c>
      <c r="J26" s="24">
        <f t="shared" si="0"/>
        <v>0</v>
      </c>
    </row>
    <row r="27" spans="1:10" x14ac:dyDescent="0.2">
      <c r="A27" s="115"/>
      <c r="B27" s="103"/>
      <c r="C27" s="116" t="s">
        <v>21</v>
      </c>
      <c r="D27" s="250"/>
      <c r="E27" s="235">
        <f>SUMIF($C$13:$C$25,$C27,E$13:E$25)</f>
        <v>0</v>
      </c>
      <c r="F27" s="235">
        <f t="shared" si="1"/>
        <v>0</v>
      </c>
      <c r="G27" s="235">
        <f t="shared" si="1"/>
        <v>0</v>
      </c>
      <c r="H27" s="235">
        <f t="shared" si="1"/>
        <v>0</v>
      </c>
      <c r="I27" s="235">
        <f t="shared" si="1"/>
        <v>0</v>
      </c>
      <c r="J27" s="199">
        <f t="shared" si="0"/>
        <v>0</v>
      </c>
    </row>
    <row r="28" spans="1:10" x14ac:dyDescent="0.2">
      <c r="A28" s="115"/>
      <c r="B28" s="103"/>
      <c r="C28" s="114" t="s">
        <v>0</v>
      </c>
      <c r="D28" s="117"/>
      <c r="E28" s="40">
        <f>SUM(E26:E27)</f>
        <v>0</v>
      </c>
      <c r="F28" s="40">
        <f>SUM(F26:F27)</f>
        <v>0</v>
      </c>
      <c r="G28" s="40">
        <f>SUM(G26:G27)</f>
        <v>0</v>
      </c>
      <c r="H28" s="40">
        <f>SUM(H26:H27)</f>
        <v>0</v>
      </c>
      <c r="I28" s="40">
        <f>SUM(I26:I27)</f>
        <v>0</v>
      </c>
      <c r="J28" s="36">
        <f t="shared" si="0"/>
        <v>0</v>
      </c>
    </row>
    <row r="29" spans="1:10" ht="12.75" customHeight="1" x14ac:dyDescent="0.2">
      <c r="A29" s="20" t="s">
        <v>2</v>
      </c>
      <c r="B29" s="161" t="s">
        <v>87</v>
      </c>
      <c r="E29" s="13"/>
      <c r="F29" s="13"/>
      <c r="G29" s="13"/>
      <c r="H29" s="13"/>
      <c r="I29" s="13"/>
      <c r="J29" s="24"/>
    </row>
    <row r="30" spans="1:10" x14ac:dyDescent="0.2">
      <c r="A30" s="107"/>
      <c r="B30" s="142" t="s">
        <v>110</v>
      </c>
      <c r="C30" s="110" t="s">
        <v>20</v>
      </c>
      <c r="D30" s="277"/>
      <c r="E30" s="2"/>
      <c r="F30" s="2">
        <f>ROUND(E30*(1+$J$9), 0)</f>
        <v>0</v>
      </c>
      <c r="G30" s="2">
        <f>ROUND(F30*(1+$J$9), 0)</f>
        <v>0</v>
      </c>
      <c r="H30" s="2">
        <f>ROUND(G30*(1+$J$9), 0)</f>
        <v>0</v>
      </c>
      <c r="I30" s="2">
        <f>ROUND(H30*(1+$J$9), 0)</f>
        <v>0</v>
      </c>
      <c r="J30" s="24">
        <f t="shared" ref="J30:J53" si="2">SUM(E30:I30)</f>
        <v>0</v>
      </c>
    </row>
    <row r="31" spans="1:10" x14ac:dyDescent="0.2">
      <c r="A31" s="107"/>
      <c r="B31" s="275"/>
      <c r="C31" s="182" t="s">
        <v>21</v>
      </c>
      <c r="D31" s="144">
        <f>$J$4</f>
        <v>0.40889999999999999</v>
      </c>
      <c r="E31" s="171">
        <f>ROUND(E30*$D31,0)</f>
        <v>0</v>
      </c>
      <c r="F31" s="171">
        <f>ROUND(F30*$D31,0)</f>
        <v>0</v>
      </c>
      <c r="G31" s="171">
        <f>ROUND(G30*$D31,0)</f>
        <v>0</v>
      </c>
      <c r="H31" s="171">
        <f>ROUND(H30*$D31,0)</f>
        <v>0</v>
      </c>
      <c r="I31" s="171">
        <f>ROUND(I30*$D31,0)</f>
        <v>0</v>
      </c>
      <c r="J31" s="172">
        <f t="shared" si="2"/>
        <v>0</v>
      </c>
    </row>
    <row r="32" spans="1:10" x14ac:dyDescent="0.2">
      <c r="A32" s="107"/>
      <c r="B32" s="109" t="s">
        <v>23</v>
      </c>
      <c r="C32" s="110" t="s">
        <v>20</v>
      </c>
      <c r="D32" s="277"/>
      <c r="E32" s="2">
        <v>0</v>
      </c>
      <c r="F32" s="2">
        <f>ROUND(E32*(1+$J$9), 0)</f>
        <v>0</v>
      </c>
      <c r="G32" s="2">
        <f>ROUND(F32*(1+$J$9), 0)</f>
        <v>0</v>
      </c>
      <c r="H32" s="2">
        <f>ROUND(G32*(1+$J$9), 0)</f>
        <v>0</v>
      </c>
      <c r="I32" s="2">
        <f>ROUND(H32*(1+$J$9), 0)</f>
        <v>0</v>
      </c>
      <c r="J32" s="24">
        <f t="shared" si="2"/>
        <v>0</v>
      </c>
    </row>
    <row r="33" spans="1:10" x14ac:dyDescent="0.2">
      <c r="A33" s="107"/>
      <c r="B33" s="275"/>
      <c r="C33" s="182" t="s">
        <v>21</v>
      </c>
      <c r="D33" s="144">
        <f>$J$4</f>
        <v>0.40889999999999999</v>
      </c>
      <c r="E33" s="171">
        <f>ROUND(E32*$D33,0)</f>
        <v>0</v>
      </c>
      <c r="F33" s="171">
        <f>ROUND(F32*$D33,0)</f>
        <v>0</v>
      </c>
      <c r="G33" s="171">
        <f>ROUND(G32*$D33,0)</f>
        <v>0</v>
      </c>
      <c r="H33" s="171">
        <f>ROUND(H32*$D33,0)</f>
        <v>0</v>
      </c>
      <c r="I33" s="171">
        <f>ROUND(I32*$D33,0)</f>
        <v>0</v>
      </c>
      <c r="J33" s="172">
        <f t="shared" si="2"/>
        <v>0</v>
      </c>
    </row>
    <row r="34" spans="1:10" x14ac:dyDescent="0.2">
      <c r="A34" s="107"/>
      <c r="B34" s="142" t="s">
        <v>109</v>
      </c>
      <c r="C34" s="110" t="s">
        <v>20</v>
      </c>
      <c r="D34" s="277"/>
      <c r="E34" s="2">
        <v>0</v>
      </c>
      <c r="F34" s="2">
        <f>ROUND(E34*(1+$J$9), 0)</f>
        <v>0</v>
      </c>
      <c r="G34" s="2">
        <f>ROUND(F34*(1+$J$9), 0)</f>
        <v>0</v>
      </c>
      <c r="H34" s="2">
        <f>ROUND(G34*(1+$J$9), 0)</f>
        <v>0</v>
      </c>
      <c r="I34" s="2">
        <f>ROUND(H34*(1+$J$9), 0)</f>
        <v>0</v>
      </c>
      <c r="J34" s="24">
        <f t="shared" si="2"/>
        <v>0</v>
      </c>
    </row>
    <row r="35" spans="1:10" x14ac:dyDescent="0.2">
      <c r="A35" s="107"/>
      <c r="B35" s="274" t="s">
        <v>165</v>
      </c>
      <c r="C35" s="182" t="s">
        <v>21</v>
      </c>
      <c r="D35" s="144">
        <f>$J$5</f>
        <v>8.5500000000000007E-2</v>
      </c>
      <c r="E35" s="171">
        <f>ROUND(E34*$D35,0)</f>
        <v>0</v>
      </c>
      <c r="F35" s="171">
        <f>ROUND(F34*$D35,0)</f>
        <v>0</v>
      </c>
      <c r="G35" s="171">
        <f>ROUND(G34*$D35,0)</f>
        <v>0</v>
      </c>
      <c r="H35" s="171">
        <f>ROUND(H34*$D35,0)</f>
        <v>0</v>
      </c>
      <c r="I35" s="171">
        <f>ROUND(I34*$D35,0)</f>
        <v>0</v>
      </c>
      <c r="J35" s="172">
        <f t="shared" si="2"/>
        <v>0</v>
      </c>
    </row>
    <row r="36" spans="1:10" x14ac:dyDescent="0.2">
      <c r="A36" s="107"/>
      <c r="B36" s="142" t="s">
        <v>109</v>
      </c>
      <c r="C36" s="110" t="s">
        <v>20</v>
      </c>
      <c r="D36" s="277"/>
      <c r="E36" s="2">
        <v>0</v>
      </c>
      <c r="F36" s="2">
        <f>ROUND(E36*(1+$J$9), 0)</f>
        <v>0</v>
      </c>
      <c r="G36" s="2">
        <f>ROUND(F36*(1+$J$9), 0)</f>
        <v>0</v>
      </c>
      <c r="H36" s="2">
        <f>ROUND(G36*(1+$J$9), 0)</f>
        <v>0</v>
      </c>
      <c r="I36" s="2">
        <f>ROUND(H36*(1+$J$9), 0)</f>
        <v>0</v>
      </c>
      <c r="J36" s="24">
        <f>SUM(E36:I36)</f>
        <v>0</v>
      </c>
    </row>
    <row r="37" spans="1:10" x14ac:dyDescent="0.2">
      <c r="A37" s="107"/>
      <c r="B37" s="274" t="s">
        <v>166</v>
      </c>
      <c r="C37" s="182" t="s">
        <v>21</v>
      </c>
      <c r="D37" s="144">
        <f>$J$6</f>
        <v>0.16200000000000001</v>
      </c>
      <c r="E37" s="171">
        <f>ROUND(E36*$D37,0)</f>
        <v>0</v>
      </c>
      <c r="F37" s="171">
        <f>ROUND(F36*$D37,0)</f>
        <v>0</v>
      </c>
      <c r="G37" s="171">
        <f>ROUND(G36*$D37,0)</f>
        <v>0</v>
      </c>
      <c r="H37" s="171">
        <f>ROUND(H36*$D37,0)</f>
        <v>0</v>
      </c>
      <c r="I37" s="171">
        <f>ROUND(I36*$D37,0)</f>
        <v>0</v>
      </c>
      <c r="J37" s="172">
        <f>SUM(E37:I37)</f>
        <v>0</v>
      </c>
    </row>
    <row r="38" spans="1:10" x14ac:dyDescent="0.2">
      <c r="A38" s="107"/>
      <c r="B38" s="109" t="s">
        <v>24</v>
      </c>
      <c r="C38" s="110" t="s">
        <v>20</v>
      </c>
      <c r="D38" s="277"/>
      <c r="E38" s="2">
        <v>0</v>
      </c>
      <c r="F38" s="2">
        <f>ROUND(E38*(1+$J$9), 0)</f>
        <v>0</v>
      </c>
      <c r="G38" s="2">
        <f>ROUND(F38*(1+$J$9), 0)</f>
        <v>0</v>
      </c>
      <c r="H38" s="2">
        <f>ROUND(G38*(1+$J$9), 0)</f>
        <v>0</v>
      </c>
      <c r="I38" s="2">
        <f>ROUND(H38*(1+$J$9), 0)</f>
        <v>0</v>
      </c>
      <c r="J38" s="24">
        <f t="shared" si="2"/>
        <v>0</v>
      </c>
    </row>
    <row r="39" spans="1:10" x14ac:dyDescent="0.2">
      <c r="A39" s="107"/>
      <c r="B39" s="274" t="s">
        <v>165</v>
      </c>
      <c r="C39" s="182" t="s">
        <v>21</v>
      </c>
      <c r="D39" s="144">
        <f>$J$7</f>
        <v>1E-4</v>
      </c>
      <c r="E39" s="171">
        <f>ROUND(E38*$D39,0)</f>
        <v>0</v>
      </c>
      <c r="F39" s="171">
        <f>ROUND(F38*$D39,0)</f>
        <v>0</v>
      </c>
      <c r="G39" s="171">
        <f>ROUND(G38*$D39,0)</f>
        <v>0</v>
      </c>
      <c r="H39" s="171">
        <f>ROUND(H38*$D39,0)</f>
        <v>0</v>
      </c>
      <c r="I39" s="171">
        <f>ROUND(I38*$D39,0)</f>
        <v>0</v>
      </c>
      <c r="J39" s="172">
        <f t="shared" si="2"/>
        <v>0</v>
      </c>
    </row>
    <row r="40" spans="1:10" x14ac:dyDescent="0.2">
      <c r="A40" s="107"/>
      <c r="B40" s="109" t="s">
        <v>24</v>
      </c>
      <c r="C40" s="110" t="s">
        <v>20</v>
      </c>
      <c r="D40" s="277"/>
      <c r="E40" s="2">
        <v>0</v>
      </c>
      <c r="F40" s="2">
        <f>ROUND(E40*(1+$J$9), 0)</f>
        <v>0</v>
      </c>
      <c r="G40" s="2">
        <f>ROUND(F40*(1+$J$9), 0)</f>
        <v>0</v>
      </c>
      <c r="H40" s="2">
        <f>ROUND(G40*(1+$J$9), 0)</f>
        <v>0</v>
      </c>
      <c r="I40" s="2">
        <f>ROUND(H40*(1+$J$9), 0)</f>
        <v>0</v>
      </c>
      <c r="J40" s="24">
        <f>SUM(E40:I40)</f>
        <v>0</v>
      </c>
    </row>
    <row r="41" spans="1:10" x14ac:dyDescent="0.2">
      <c r="A41" s="107"/>
      <c r="B41" s="274" t="s">
        <v>166</v>
      </c>
      <c r="C41" s="182" t="s">
        <v>21</v>
      </c>
      <c r="D41" s="144">
        <f>$J$8</f>
        <v>7.6600000000000001E-2</v>
      </c>
      <c r="E41" s="171">
        <f>ROUND(E40*$D41,0)</f>
        <v>0</v>
      </c>
      <c r="F41" s="171">
        <f>ROUND(F40*$D41,0)</f>
        <v>0</v>
      </c>
      <c r="G41" s="171">
        <f>ROUND(G40*$D41,0)</f>
        <v>0</v>
      </c>
      <c r="H41" s="171">
        <f>ROUND(H40*$D41,0)</f>
        <v>0</v>
      </c>
      <c r="I41" s="171">
        <f>ROUND(I40*$D41,0)</f>
        <v>0</v>
      </c>
      <c r="J41" s="172">
        <f>SUM(E41:I41)</f>
        <v>0</v>
      </c>
    </row>
    <row r="42" spans="1:10" x14ac:dyDescent="0.2">
      <c r="A42" s="107"/>
      <c r="B42" s="142" t="s">
        <v>68</v>
      </c>
      <c r="C42" s="110" t="s">
        <v>20</v>
      </c>
      <c r="D42" s="277"/>
      <c r="E42" s="2">
        <v>0</v>
      </c>
      <c r="F42" s="2">
        <f>ROUND(E42*(1+$J$9), 0)</f>
        <v>0</v>
      </c>
      <c r="G42" s="2">
        <f>ROUND(F42*(1+$J$9), 0)</f>
        <v>0</v>
      </c>
      <c r="H42" s="2">
        <f>ROUND(G42*(1+$J$9), 0)</f>
        <v>0</v>
      </c>
      <c r="I42" s="2">
        <f>ROUND(H42*(1+$J$9), 0)</f>
        <v>0</v>
      </c>
      <c r="J42" s="24">
        <f t="shared" si="2"/>
        <v>0</v>
      </c>
    </row>
    <row r="43" spans="1:10" x14ac:dyDescent="0.2">
      <c r="A43" s="107"/>
      <c r="B43" s="275"/>
      <c r="C43" s="182" t="s">
        <v>21</v>
      </c>
      <c r="D43" s="144">
        <f>$J$4</f>
        <v>0.40889999999999999</v>
      </c>
      <c r="E43" s="171">
        <f>ROUND(E42*$D43,0)</f>
        <v>0</v>
      </c>
      <c r="F43" s="171">
        <f>ROUND(F42*$D43,0)</f>
        <v>0</v>
      </c>
      <c r="G43" s="171">
        <f>ROUND(G42*$D43,0)</f>
        <v>0</v>
      </c>
      <c r="H43" s="171">
        <f>ROUND(H42*$D43,0)</f>
        <v>0</v>
      </c>
      <c r="I43" s="171">
        <f>ROUND(I42*$D43,0)</f>
        <v>0</v>
      </c>
      <c r="J43" s="172">
        <f t="shared" si="2"/>
        <v>0</v>
      </c>
    </row>
    <row r="44" spans="1:10" x14ac:dyDescent="0.2">
      <c r="A44" s="107"/>
      <c r="B44" s="142" t="s">
        <v>158</v>
      </c>
      <c r="C44" s="110" t="s">
        <v>20</v>
      </c>
      <c r="D44" s="277"/>
      <c r="E44" s="2">
        <v>0</v>
      </c>
      <c r="F44" s="2">
        <f>ROUND(E44*(1+$J$9), 0)</f>
        <v>0</v>
      </c>
      <c r="G44" s="2">
        <f>ROUND(F44*(1+$J$9), 0)</f>
        <v>0</v>
      </c>
      <c r="H44" s="2">
        <f>ROUND(G44*(1+$J$9), 0)</f>
        <v>0</v>
      </c>
      <c r="I44" s="2">
        <f>ROUND(H44*(1+$J$9), 0)</f>
        <v>0</v>
      </c>
      <c r="J44" s="24">
        <f t="shared" si="2"/>
        <v>0</v>
      </c>
    </row>
    <row r="45" spans="1:10" x14ac:dyDescent="0.2">
      <c r="A45" s="107"/>
      <c r="B45" s="275"/>
      <c r="C45" s="182" t="s">
        <v>21</v>
      </c>
      <c r="D45" s="144">
        <f>$J$8</f>
        <v>7.6600000000000001E-2</v>
      </c>
      <c r="E45" s="171">
        <f>ROUND(E44*$D45,0)</f>
        <v>0</v>
      </c>
      <c r="F45" s="171">
        <f>ROUND(F44*$D45,0)</f>
        <v>0</v>
      </c>
      <c r="G45" s="171">
        <f>ROUND(G44*$D45,0)</f>
        <v>0</v>
      </c>
      <c r="H45" s="171">
        <f>ROUND(H44*$D45,0)</f>
        <v>0</v>
      </c>
      <c r="I45" s="171">
        <f>ROUND(I44*$D45,0)</f>
        <v>0</v>
      </c>
      <c r="J45" s="172">
        <f t="shared" si="2"/>
        <v>0</v>
      </c>
    </row>
    <row r="46" spans="1:10" ht="4.5" customHeight="1" x14ac:dyDescent="0.2">
      <c r="A46" s="107"/>
      <c r="B46" s="263"/>
      <c r="C46" s="182"/>
      <c r="D46" s="258"/>
      <c r="E46" s="259"/>
      <c r="F46" s="259"/>
      <c r="G46" s="259"/>
      <c r="H46" s="259"/>
      <c r="I46" s="259"/>
      <c r="J46" s="261"/>
    </row>
    <row r="47" spans="1:10" x14ac:dyDescent="0.2">
      <c r="A47" s="107"/>
      <c r="B47" s="204" t="s">
        <v>91</v>
      </c>
      <c r="C47" s="114" t="s">
        <v>20</v>
      </c>
      <c r="D47" s="112"/>
      <c r="E47" s="13">
        <f t="shared" ref="E47:I48" si="3">SUMIF($C$30:$C$46,$C47,E$30:E$46)</f>
        <v>0</v>
      </c>
      <c r="F47" s="13">
        <f t="shared" si="3"/>
        <v>0</v>
      </c>
      <c r="G47" s="13">
        <f t="shared" si="3"/>
        <v>0</v>
      </c>
      <c r="H47" s="13">
        <f t="shared" si="3"/>
        <v>0</v>
      </c>
      <c r="I47" s="13">
        <f t="shared" si="3"/>
        <v>0</v>
      </c>
      <c r="J47" s="24">
        <f t="shared" si="2"/>
        <v>0</v>
      </c>
    </row>
    <row r="48" spans="1:10" x14ac:dyDescent="0.2">
      <c r="A48" s="107"/>
      <c r="B48" s="109"/>
      <c r="C48" s="116" t="s">
        <v>21</v>
      </c>
      <c r="D48" s="251"/>
      <c r="E48" s="235">
        <f t="shared" si="3"/>
        <v>0</v>
      </c>
      <c r="F48" s="235">
        <f t="shared" si="3"/>
        <v>0</v>
      </c>
      <c r="G48" s="235">
        <f t="shared" si="3"/>
        <v>0</v>
      </c>
      <c r="H48" s="235">
        <f t="shared" si="3"/>
        <v>0</v>
      </c>
      <c r="I48" s="235">
        <f t="shared" si="3"/>
        <v>0</v>
      </c>
      <c r="J48" s="199">
        <f t="shared" si="2"/>
        <v>0</v>
      </c>
    </row>
    <row r="49" spans="1:10" x14ac:dyDescent="0.2">
      <c r="A49" s="107"/>
      <c r="C49" s="114" t="s">
        <v>0</v>
      </c>
      <c r="D49" s="111"/>
      <c r="E49" s="40">
        <f>SUM(E47:E48)</f>
        <v>0</v>
      </c>
      <c r="F49" s="40">
        <f>SUM(F47:F48)</f>
        <v>0</v>
      </c>
      <c r="G49" s="40">
        <f>SUM(G47:G48)</f>
        <v>0</v>
      </c>
      <c r="H49" s="40">
        <f>SUM(H47:H48)</f>
        <v>0</v>
      </c>
      <c r="I49" s="40">
        <f>SUM(I47:I48)</f>
        <v>0</v>
      </c>
      <c r="J49" s="36">
        <f t="shared" si="2"/>
        <v>0</v>
      </c>
    </row>
    <row r="50" spans="1:10" ht="4.5" customHeight="1" x14ac:dyDescent="0.2">
      <c r="A50" s="107"/>
      <c r="C50" s="111"/>
      <c r="D50" s="111"/>
      <c r="E50" s="40"/>
      <c r="F50" s="40"/>
      <c r="G50" s="40"/>
      <c r="H50" s="40"/>
      <c r="I50" s="40"/>
      <c r="J50" s="36"/>
    </row>
    <row r="51" spans="1:10" x14ac:dyDescent="0.2">
      <c r="A51" s="107"/>
      <c r="B51" s="103"/>
      <c r="C51" s="114" t="s">
        <v>20</v>
      </c>
      <c r="D51" s="111"/>
      <c r="E51" s="13">
        <f t="shared" ref="E51:I52" si="4">E26+E47</f>
        <v>0</v>
      </c>
      <c r="F51" s="13">
        <f t="shared" si="4"/>
        <v>0</v>
      </c>
      <c r="G51" s="13">
        <f t="shared" si="4"/>
        <v>0</v>
      </c>
      <c r="H51" s="13">
        <f t="shared" si="4"/>
        <v>0</v>
      </c>
      <c r="I51" s="13">
        <f t="shared" si="4"/>
        <v>0</v>
      </c>
      <c r="J51" s="24">
        <f t="shared" si="2"/>
        <v>0</v>
      </c>
    </row>
    <row r="52" spans="1:10" x14ac:dyDescent="0.2">
      <c r="A52" s="20" t="s">
        <v>3</v>
      </c>
      <c r="B52" s="200" t="s">
        <v>88</v>
      </c>
      <c r="C52" s="116" t="s">
        <v>21</v>
      </c>
      <c r="D52" s="250"/>
      <c r="E52" s="248">
        <f t="shared" si="4"/>
        <v>0</v>
      </c>
      <c r="F52" s="248">
        <f t="shared" si="4"/>
        <v>0</v>
      </c>
      <c r="G52" s="248">
        <f t="shared" si="4"/>
        <v>0</v>
      </c>
      <c r="H52" s="248">
        <f t="shared" si="4"/>
        <v>0</v>
      </c>
      <c r="I52" s="248">
        <f t="shared" si="4"/>
        <v>0</v>
      </c>
      <c r="J52" s="247">
        <f t="shared" si="2"/>
        <v>0</v>
      </c>
    </row>
    <row r="53" spans="1:10" x14ac:dyDescent="0.2">
      <c r="A53" s="107"/>
      <c r="B53" s="113" t="s">
        <v>29</v>
      </c>
      <c r="C53" s="114" t="s">
        <v>0</v>
      </c>
      <c r="D53" s="111"/>
      <c r="E53" s="40">
        <f>SUM(E51:E52)</f>
        <v>0</v>
      </c>
      <c r="F53" s="40">
        <f>SUM(F51:F52)</f>
        <v>0</v>
      </c>
      <c r="G53" s="40">
        <f>SUM(G51:G52)</f>
        <v>0</v>
      </c>
      <c r="H53" s="40">
        <f>SUM(H51:H52)</f>
        <v>0</v>
      </c>
      <c r="I53" s="40">
        <f>SUM(I51:I52)</f>
        <v>0</v>
      </c>
      <c r="J53" s="36">
        <f t="shared" si="2"/>
        <v>0</v>
      </c>
    </row>
    <row r="54" spans="1:10" ht="4.5" customHeight="1" x14ac:dyDescent="0.2">
      <c r="A54" s="107"/>
      <c r="C54" s="111"/>
      <c r="D54" s="111"/>
      <c r="E54" s="13"/>
      <c r="F54" s="13"/>
      <c r="G54" s="13"/>
      <c r="H54" s="13"/>
      <c r="I54" s="13"/>
      <c r="J54" s="24"/>
    </row>
    <row r="55" spans="1:10" x14ac:dyDescent="0.2">
      <c r="A55" s="20" t="s">
        <v>4</v>
      </c>
      <c r="B55" s="162" t="s">
        <v>97</v>
      </c>
      <c r="D55" s="111"/>
      <c r="E55" s="6">
        <v>0</v>
      </c>
      <c r="F55" s="6">
        <v>0</v>
      </c>
      <c r="G55" s="6">
        <v>0</v>
      </c>
      <c r="H55" s="6">
        <v>0</v>
      </c>
      <c r="I55" s="6">
        <v>0</v>
      </c>
      <c r="J55" s="24">
        <f t="shared" ref="J55:J66" si="5">SUM(E55:I55)</f>
        <v>0</v>
      </c>
    </row>
    <row r="56" spans="1:10" ht="4.5" customHeight="1" x14ac:dyDescent="0.2">
      <c r="A56" s="107"/>
      <c r="C56" s="111"/>
      <c r="D56" s="111"/>
      <c r="E56" s="118"/>
      <c r="F56" s="118"/>
      <c r="G56" s="118"/>
      <c r="H56" s="118"/>
      <c r="I56" s="118"/>
      <c r="J56" s="24"/>
    </row>
    <row r="57" spans="1:10" x14ac:dyDescent="0.2">
      <c r="A57" s="107" t="s">
        <v>5</v>
      </c>
      <c r="B57" s="23" t="s">
        <v>93</v>
      </c>
      <c r="D57" s="111"/>
      <c r="E57" s="2">
        <v>0</v>
      </c>
      <c r="F57" s="2">
        <f t="shared" ref="F57:I58" si="6">ROUND(E57*(1+$J$10),0)</f>
        <v>0</v>
      </c>
      <c r="G57" s="2">
        <f t="shared" si="6"/>
        <v>0</v>
      </c>
      <c r="H57" s="2">
        <f t="shared" si="6"/>
        <v>0</v>
      </c>
      <c r="I57" s="2">
        <f t="shared" si="6"/>
        <v>0</v>
      </c>
      <c r="J57" s="24">
        <f t="shared" si="5"/>
        <v>0</v>
      </c>
    </row>
    <row r="58" spans="1:10" x14ac:dyDescent="0.2">
      <c r="A58" s="107"/>
      <c r="B58" s="23" t="s">
        <v>94</v>
      </c>
      <c r="D58" s="111"/>
      <c r="E58" s="2">
        <v>0</v>
      </c>
      <c r="F58" s="2">
        <f t="shared" si="6"/>
        <v>0</v>
      </c>
      <c r="G58" s="2">
        <f t="shared" si="6"/>
        <v>0</v>
      </c>
      <c r="H58" s="2">
        <f t="shared" si="6"/>
        <v>0</v>
      </c>
      <c r="I58" s="2">
        <f t="shared" si="6"/>
        <v>0</v>
      </c>
      <c r="J58" s="24">
        <f t="shared" si="5"/>
        <v>0</v>
      </c>
    </row>
    <row r="59" spans="1:10" ht="4.5" customHeight="1" x14ac:dyDescent="0.2">
      <c r="A59" s="107"/>
      <c r="C59" s="111"/>
      <c r="D59" s="111"/>
      <c r="E59" s="13"/>
      <c r="F59" s="13"/>
      <c r="G59" s="13"/>
      <c r="H59" s="13"/>
      <c r="I59" s="13"/>
      <c r="J59" s="24"/>
    </row>
    <row r="60" spans="1:10" x14ac:dyDescent="0.2">
      <c r="A60" s="20" t="s">
        <v>36</v>
      </c>
      <c r="B60" s="161" t="s">
        <v>30</v>
      </c>
      <c r="C60" s="111"/>
      <c r="D60" s="111"/>
      <c r="E60" s="4">
        <v>0</v>
      </c>
      <c r="F60" s="4">
        <f>E60</f>
        <v>0</v>
      </c>
      <c r="G60" s="4">
        <f>F60</f>
        <v>0</v>
      </c>
      <c r="H60" s="4">
        <f>G60</f>
        <v>0</v>
      </c>
      <c r="I60" s="4">
        <f>H60</f>
        <v>0</v>
      </c>
      <c r="J60" s="24">
        <f t="shared" si="5"/>
        <v>0</v>
      </c>
    </row>
    <row r="61" spans="1:10" ht="4.5" customHeight="1" x14ac:dyDescent="0.2">
      <c r="A61" s="107"/>
      <c r="C61" s="111"/>
      <c r="D61" s="111"/>
      <c r="E61" s="13"/>
      <c r="F61" s="13"/>
      <c r="G61" s="13"/>
      <c r="H61" s="13"/>
      <c r="I61" s="13"/>
      <c r="J61" s="24"/>
    </row>
    <row r="62" spans="1:10" x14ac:dyDescent="0.2">
      <c r="A62" s="107" t="s">
        <v>37</v>
      </c>
      <c r="B62" s="117" t="s">
        <v>85</v>
      </c>
      <c r="C62" s="111"/>
      <c r="D62" s="111"/>
      <c r="E62" s="103"/>
      <c r="F62" s="103"/>
      <c r="G62" s="103"/>
      <c r="H62" s="103"/>
      <c r="I62" s="103"/>
      <c r="J62" s="245"/>
    </row>
    <row r="63" spans="1:10" x14ac:dyDescent="0.2">
      <c r="A63" s="107"/>
      <c r="B63" s="23" t="s">
        <v>12</v>
      </c>
      <c r="C63" s="111"/>
      <c r="D63" s="111"/>
      <c r="E63" s="2">
        <v>0</v>
      </c>
      <c r="F63" s="2">
        <f>ROUND(E63*(1+$J$10),0)</f>
        <v>0</v>
      </c>
      <c r="G63" s="2">
        <f>ROUND(F63*(1+$J$10),0)</f>
        <v>0</v>
      </c>
      <c r="H63" s="2">
        <f>ROUND(G63*(1+$J$10),0)</f>
        <v>0</v>
      </c>
      <c r="I63" s="2">
        <f>ROUND(H63*(1+$J$10),0)</f>
        <v>0</v>
      </c>
      <c r="J63" s="24">
        <f>SUM(E63:I63)</f>
        <v>0</v>
      </c>
    </row>
    <row r="64" spans="1:10" x14ac:dyDescent="0.2">
      <c r="A64" s="107"/>
      <c r="B64" s="23" t="s">
        <v>103</v>
      </c>
      <c r="C64" s="111"/>
      <c r="D64" s="111"/>
      <c r="E64" s="2">
        <v>0</v>
      </c>
      <c r="F64" s="2">
        <f t="shared" ref="F64:I66" si="7">ROUND(E64*(1+$J$10),0)</f>
        <v>0</v>
      </c>
      <c r="G64" s="2">
        <f t="shared" si="7"/>
        <v>0</v>
      </c>
      <c r="H64" s="2">
        <f t="shared" si="7"/>
        <v>0</v>
      </c>
      <c r="I64" s="2">
        <f t="shared" si="7"/>
        <v>0</v>
      </c>
      <c r="J64" s="24">
        <f t="shared" si="5"/>
        <v>0</v>
      </c>
    </row>
    <row r="65" spans="1:10" x14ac:dyDescent="0.2">
      <c r="A65" s="107"/>
      <c r="B65" s="23" t="s">
        <v>102</v>
      </c>
      <c r="C65" s="111"/>
      <c r="D65" s="111"/>
      <c r="E65" s="2">
        <v>0</v>
      </c>
      <c r="F65" s="2">
        <f t="shared" si="7"/>
        <v>0</v>
      </c>
      <c r="G65" s="2">
        <f t="shared" si="7"/>
        <v>0</v>
      </c>
      <c r="H65" s="2">
        <f t="shared" si="7"/>
        <v>0</v>
      </c>
      <c r="I65" s="2">
        <f t="shared" si="7"/>
        <v>0</v>
      </c>
      <c r="J65" s="24">
        <f t="shared" si="5"/>
        <v>0</v>
      </c>
    </row>
    <row r="66" spans="1:10" x14ac:dyDescent="0.2">
      <c r="A66" s="107"/>
      <c r="B66" s="23" t="s">
        <v>82</v>
      </c>
      <c r="C66" s="111"/>
      <c r="D66" s="111"/>
      <c r="E66" s="2">
        <v>0</v>
      </c>
      <c r="F66" s="2">
        <f t="shared" si="7"/>
        <v>0</v>
      </c>
      <c r="G66" s="2">
        <f t="shared" si="7"/>
        <v>0</v>
      </c>
      <c r="H66" s="2">
        <f t="shared" si="7"/>
        <v>0</v>
      </c>
      <c r="I66" s="2">
        <f t="shared" si="7"/>
        <v>0</v>
      </c>
      <c r="J66" s="24">
        <f t="shared" si="5"/>
        <v>0</v>
      </c>
    </row>
    <row r="67" spans="1:10" x14ac:dyDescent="0.2">
      <c r="A67" s="107"/>
      <c r="B67" s="347" t="s">
        <v>175</v>
      </c>
      <c r="C67" s="23"/>
      <c r="D67" s="23"/>
      <c r="E67" s="4">
        <v>0</v>
      </c>
      <c r="F67" s="4">
        <f>E67*(1+$J$10)</f>
        <v>0</v>
      </c>
      <c r="G67" s="4">
        <f>F67*(1+$J$10)</f>
        <v>0</v>
      </c>
      <c r="H67" s="4">
        <f>G67*(1+$J$10)</f>
        <v>0</v>
      </c>
      <c r="I67" s="4">
        <f>H67*(1+$J$10)</f>
        <v>0</v>
      </c>
      <c r="J67" s="24">
        <f>SUM(E67:I67)</f>
        <v>0</v>
      </c>
    </row>
    <row r="68" spans="1:10" x14ac:dyDescent="0.2">
      <c r="A68" s="107"/>
      <c r="B68" s="23" t="s">
        <v>95</v>
      </c>
      <c r="C68" s="159">
        <v>1</v>
      </c>
      <c r="D68" s="23"/>
      <c r="E68" s="4">
        <v>0</v>
      </c>
      <c r="F68" s="4">
        <v>0</v>
      </c>
      <c r="G68" s="4">
        <v>0</v>
      </c>
      <c r="H68" s="4">
        <v>0</v>
      </c>
      <c r="I68" s="4">
        <v>0</v>
      </c>
      <c r="J68" s="24">
        <f>SUM(E68:I68)</f>
        <v>0</v>
      </c>
    </row>
    <row r="69" spans="1:10" x14ac:dyDescent="0.2">
      <c r="A69" s="107"/>
      <c r="B69" s="23" t="s">
        <v>95</v>
      </c>
      <c r="C69" s="159">
        <v>2</v>
      </c>
      <c r="D69" s="23"/>
      <c r="E69" s="4">
        <v>0</v>
      </c>
      <c r="F69" s="4">
        <v>0</v>
      </c>
      <c r="G69" s="4">
        <v>0</v>
      </c>
      <c r="H69" s="4">
        <v>0</v>
      </c>
      <c r="I69" s="4">
        <v>0</v>
      </c>
      <c r="J69" s="24">
        <f>SUM(E69:I69)</f>
        <v>0</v>
      </c>
    </row>
    <row r="70" spans="1:10" x14ac:dyDescent="0.2">
      <c r="A70" s="107"/>
      <c r="B70" s="111" t="s">
        <v>6</v>
      </c>
      <c r="C70" s="111"/>
      <c r="D70" s="111"/>
      <c r="E70" s="2"/>
      <c r="F70" s="119"/>
      <c r="G70" s="119"/>
      <c r="H70" s="119"/>
      <c r="I70" s="119"/>
      <c r="J70" s="24"/>
    </row>
    <row r="71" spans="1:10" x14ac:dyDescent="0.2">
      <c r="A71" s="107"/>
      <c r="B71" s="201" t="s">
        <v>83</v>
      </c>
      <c r="C71" s="111"/>
      <c r="D71" s="111"/>
      <c r="E71" s="4">
        <f>ROUND(SUMIF($B30:$B45,$B$34,E30:E45)*$J$3,0)</f>
        <v>0</v>
      </c>
      <c r="F71" s="4">
        <f>ROUND(SUMIF($B30:$B45,$B$34,F30:F45)*$J$3,0)</f>
        <v>0</v>
      </c>
      <c r="G71" s="4">
        <f>ROUND(SUMIF($B30:$B45,$B$34,G30:G45)*$J$3,0)</f>
        <v>0</v>
      </c>
      <c r="H71" s="4">
        <f>ROUND(SUMIF($B30:$B45,$B$34,H30:H45)*$J$3,0)</f>
        <v>0</v>
      </c>
      <c r="I71" s="4">
        <f>ROUND(SUMIF($B30:$B45,$B$34,I30:I45)*$J$3,0)</f>
        <v>0</v>
      </c>
      <c r="J71" s="24">
        <f>SUM(E71:I71)</f>
        <v>0</v>
      </c>
    </row>
    <row r="72" spans="1:10" x14ac:dyDescent="0.2">
      <c r="A72" s="107"/>
      <c r="B72" s="201" t="s">
        <v>101</v>
      </c>
      <c r="C72" s="23"/>
      <c r="D72" s="23"/>
      <c r="E72" s="119">
        <v>0</v>
      </c>
      <c r="F72" s="119">
        <v>0</v>
      </c>
      <c r="G72" s="119">
        <v>0</v>
      </c>
      <c r="H72" s="119">
        <v>0</v>
      </c>
      <c r="I72" s="119">
        <v>0</v>
      </c>
      <c r="J72" s="24">
        <f>SUM(E72:I72)</f>
        <v>0</v>
      </c>
    </row>
    <row r="73" spans="1:10" x14ac:dyDescent="0.2">
      <c r="A73" s="107"/>
      <c r="B73" s="201" t="s">
        <v>100</v>
      </c>
      <c r="C73" s="23"/>
      <c r="D73" s="23"/>
      <c r="E73" s="119">
        <v>0</v>
      </c>
      <c r="F73" s="2">
        <f>ROUND(E73*(1+$J$10),0)</f>
        <v>0</v>
      </c>
      <c r="G73" s="2">
        <f>ROUND(F73*(1+$J$10),0)</f>
        <v>0</v>
      </c>
      <c r="H73" s="2">
        <f>ROUND(G73*(1+$J$10),0)</f>
        <v>0</v>
      </c>
      <c r="I73" s="2">
        <f>ROUND(H73*(1+$J$10),0)</f>
        <v>0</v>
      </c>
      <c r="J73" s="24">
        <f>SUM(E73:I73)</f>
        <v>0</v>
      </c>
    </row>
    <row r="74" spans="1:10" x14ac:dyDescent="0.2">
      <c r="A74" s="107"/>
      <c r="B74" s="201" t="s">
        <v>112</v>
      </c>
      <c r="C74" s="23"/>
      <c r="D74" s="23"/>
      <c r="E74" s="119">
        <v>0</v>
      </c>
      <c r="F74" s="119">
        <v>0</v>
      </c>
      <c r="G74" s="119">
        <v>0</v>
      </c>
      <c r="H74" s="119">
        <v>0</v>
      </c>
      <c r="I74" s="119">
        <v>0</v>
      </c>
      <c r="J74" s="24">
        <f>SUM(E74:I74)</f>
        <v>0</v>
      </c>
    </row>
    <row r="75" spans="1:10" x14ac:dyDescent="0.2">
      <c r="A75" s="107"/>
      <c r="B75" s="201" t="s">
        <v>104</v>
      </c>
      <c r="C75" s="23"/>
      <c r="D75" s="23"/>
      <c r="E75" s="119">
        <v>0</v>
      </c>
      <c r="F75" s="119">
        <v>0</v>
      </c>
      <c r="G75" s="119">
        <v>0</v>
      </c>
      <c r="H75" s="119">
        <v>0</v>
      </c>
      <c r="I75" s="119">
        <v>0</v>
      </c>
      <c r="J75" s="24">
        <f t="shared" ref="J75:J80" si="8">SUM(E75:I75)</f>
        <v>0</v>
      </c>
    </row>
    <row r="76" spans="1:10" x14ac:dyDescent="0.2">
      <c r="A76" s="107"/>
      <c r="B76" s="209" t="s">
        <v>106</v>
      </c>
      <c r="C76" s="23"/>
      <c r="D76" s="23"/>
      <c r="E76" s="119">
        <v>0</v>
      </c>
      <c r="F76" s="119">
        <v>0</v>
      </c>
      <c r="G76" s="119">
        <v>0</v>
      </c>
      <c r="H76" s="119">
        <v>0</v>
      </c>
      <c r="I76" s="119">
        <v>0</v>
      </c>
      <c r="J76" s="24">
        <f t="shared" si="8"/>
        <v>0</v>
      </c>
    </row>
    <row r="77" spans="1:10" x14ac:dyDescent="0.2">
      <c r="A77" s="107"/>
      <c r="B77" s="201" t="s">
        <v>98</v>
      </c>
      <c r="C77" s="23"/>
      <c r="D77" s="23"/>
      <c r="E77" s="119">
        <v>0</v>
      </c>
      <c r="F77" s="119">
        <v>0</v>
      </c>
      <c r="G77" s="119">
        <v>0</v>
      </c>
      <c r="H77" s="119">
        <v>0</v>
      </c>
      <c r="I77" s="119">
        <v>0</v>
      </c>
      <c r="J77" s="24">
        <f t="shared" si="8"/>
        <v>0</v>
      </c>
    </row>
    <row r="78" spans="1:10" x14ac:dyDescent="0.2">
      <c r="A78" s="107"/>
      <c r="B78" s="201" t="s">
        <v>105</v>
      </c>
      <c r="C78" s="23"/>
      <c r="D78" s="23"/>
      <c r="E78" s="4">
        <v>0</v>
      </c>
      <c r="F78" s="4">
        <v>0</v>
      </c>
      <c r="G78" s="4">
        <v>0</v>
      </c>
      <c r="H78" s="4">
        <v>0</v>
      </c>
      <c r="I78" s="4">
        <v>0</v>
      </c>
      <c r="J78" s="24">
        <f t="shared" si="8"/>
        <v>0</v>
      </c>
    </row>
    <row r="79" spans="1:10" x14ac:dyDescent="0.2">
      <c r="A79" s="107"/>
      <c r="B79" s="201" t="s">
        <v>99</v>
      </c>
      <c r="C79" s="23"/>
      <c r="D79" s="23"/>
      <c r="E79" s="119">
        <v>0</v>
      </c>
      <c r="F79" s="119">
        <v>0</v>
      </c>
      <c r="G79" s="119">
        <v>0</v>
      </c>
      <c r="H79" s="119">
        <v>0</v>
      </c>
      <c r="I79" s="119">
        <v>0</v>
      </c>
      <c r="J79" s="24">
        <f t="shared" si="8"/>
        <v>0</v>
      </c>
    </row>
    <row r="80" spans="1:10" x14ac:dyDescent="0.2">
      <c r="A80" s="107"/>
      <c r="B80" s="201" t="s">
        <v>84</v>
      </c>
      <c r="C80" s="23"/>
      <c r="D80" s="23"/>
      <c r="E80" s="119">
        <v>0</v>
      </c>
      <c r="F80" s="119">
        <v>0</v>
      </c>
      <c r="G80" s="119">
        <v>0</v>
      </c>
      <c r="H80" s="119">
        <v>0</v>
      </c>
      <c r="I80" s="119">
        <v>0</v>
      </c>
      <c r="J80" s="24">
        <f t="shared" si="8"/>
        <v>0</v>
      </c>
    </row>
    <row r="81" spans="1:10" x14ac:dyDescent="0.2">
      <c r="A81" s="107"/>
      <c r="B81" s="203" t="s">
        <v>61</v>
      </c>
      <c r="C81" s="38"/>
      <c r="D81" s="38"/>
      <c r="E81" s="202">
        <v>0</v>
      </c>
      <c r="F81" s="215">
        <f>ROUND(E81*(1+$J$10),0)</f>
        <v>0</v>
      </c>
      <c r="G81" s="215">
        <f>ROUND(F81*(1+$J$10),0)</f>
        <v>0</v>
      </c>
      <c r="H81" s="215">
        <f>ROUND(G81*(1+$J$10),0)</f>
        <v>0</v>
      </c>
      <c r="I81" s="215">
        <f>ROUND(H81*(1+$J$10),0)</f>
        <v>0</v>
      </c>
      <c r="J81" s="30">
        <f>SUM(E81:I81)</f>
        <v>0</v>
      </c>
    </row>
    <row r="82" spans="1:10" x14ac:dyDescent="0.2">
      <c r="A82" s="107"/>
      <c r="B82" s="246" t="s">
        <v>111</v>
      </c>
      <c r="C82" s="23"/>
      <c r="D82" s="23"/>
      <c r="E82" s="241">
        <f>SUM(E71:E81)</f>
        <v>0</v>
      </c>
      <c r="F82" s="241">
        <f>SUM(F71:F81)</f>
        <v>0</v>
      </c>
      <c r="G82" s="241">
        <f>SUM(G71:G81)</f>
        <v>0</v>
      </c>
      <c r="H82" s="241">
        <f>SUM(H71:H81)</f>
        <v>0</v>
      </c>
      <c r="I82" s="241">
        <f>SUM(I71:I81)</f>
        <v>0</v>
      </c>
      <c r="J82" s="36">
        <f t="shared" ref="J82:J89" si="9">SUM(E82:I82)</f>
        <v>0</v>
      </c>
    </row>
    <row r="83" spans="1:10" x14ac:dyDescent="0.2">
      <c r="A83" s="107"/>
      <c r="B83" s="117" t="s">
        <v>13</v>
      </c>
      <c r="C83" s="111"/>
      <c r="D83" s="111"/>
      <c r="E83" s="40">
        <f>SUM(E63:E81)</f>
        <v>0</v>
      </c>
      <c r="F83" s="40">
        <f>SUM(F63:F81)</f>
        <v>0</v>
      </c>
      <c r="G83" s="40">
        <f>SUM(G63:G81)</f>
        <v>0</v>
      </c>
      <c r="H83" s="40">
        <f>SUM(H63:H81)</f>
        <v>0</v>
      </c>
      <c r="I83" s="40">
        <f>SUM(I63:I81)</f>
        <v>0</v>
      </c>
      <c r="J83" s="36">
        <f t="shared" si="9"/>
        <v>0</v>
      </c>
    </row>
    <row r="84" spans="1:10" ht="4.5" customHeight="1" x14ac:dyDescent="0.2">
      <c r="A84" s="107"/>
      <c r="C84" s="111"/>
      <c r="D84" s="111"/>
      <c r="E84" s="13"/>
      <c r="F84" s="13"/>
      <c r="G84" s="13"/>
      <c r="H84" s="13"/>
      <c r="I84" s="13"/>
      <c r="J84" s="24"/>
    </row>
    <row r="85" spans="1:10" x14ac:dyDescent="0.2">
      <c r="A85" s="107" t="s">
        <v>7</v>
      </c>
      <c r="B85" s="117" t="s">
        <v>8</v>
      </c>
      <c r="D85" s="111"/>
      <c r="E85" s="41">
        <f>E53+E55+E57+E58+E60+E83</f>
        <v>0</v>
      </c>
      <c r="F85" s="41">
        <f>F53+F55+F57+F58+F60+F83</f>
        <v>0</v>
      </c>
      <c r="G85" s="41">
        <f>G53+G55+G57+G58+G60+G83</f>
        <v>0</v>
      </c>
      <c r="H85" s="41">
        <f>H53+H55+H57+H58+H60+H83</f>
        <v>0</v>
      </c>
      <c r="I85" s="41">
        <f>I53+I55+I57+I58+I60+I83</f>
        <v>0</v>
      </c>
      <c r="J85" s="36">
        <f t="shared" si="9"/>
        <v>0</v>
      </c>
    </row>
    <row r="86" spans="1:10" x14ac:dyDescent="0.2">
      <c r="A86" s="107"/>
      <c r="B86" s="121" t="s">
        <v>66</v>
      </c>
      <c r="C86" s="262" t="str">
        <f>IF(OR(J85=0,C3="TBD"),"TBD",J86*$C$3)</f>
        <v>TBD</v>
      </c>
      <c r="D86" s="120"/>
      <c r="E86" s="122">
        <f>IF($D$3="",0,IF($D$3=$AC$4,E85-E55-E60-E78-SUMIF($B$63:$B$81,$B$68,E63:E81)-E71-E67,E85-E71))</f>
        <v>0</v>
      </c>
      <c r="F86" s="122">
        <f>IF($D$3="",0,IF($D$3=$AC$4,F85-F55-F60-F78-SUMIF($B$63:$B$81,$B$68,F63:F81)-F71-F67,F85-F71))</f>
        <v>0</v>
      </c>
      <c r="G86" s="122">
        <f>IF($D$3="",0,IF($D$3=$AC$4,G85-G55-G60-G78-SUMIF($B$63:$B$81,$B$68,G63:G81)-G71-G67,G85-G71))</f>
        <v>0</v>
      </c>
      <c r="H86" s="122">
        <f>IF($D$3="",0,IF($D$3=$AC$4,H85-H55-H60-H78-SUMIF($B$63:$B$81,$B$68,H63:H81)-H71-H67,H85-H71))</f>
        <v>0</v>
      </c>
      <c r="I86" s="122">
        <f>IF($D$3="",0,IF($D$3=$AC$4,I85-I55-I60-I78-SUMIF($B$63:$B$81,$B$68,I63:I81)-I71-I67,I85-I71))</f>
        <v>0</v>
      </c>
      <c r="J86" s="123">
        <f>SUM(E86:I86)</f>
        <v>0</v>
      </c>
    </row>
    <row r="87" spans="1:10" x14ac:dyDescent="0.2">
      <c r="A87" s="107"/>
      <c r="B87" s="121" t="s">
        <v>115</v>
      </c>
      <c r="C87" s="262" t="str">
        <f>IF(OR($J$85=0,$C$4=""),"TBD",IF($C$4=AD4,$J$87*AE4,IF($C$4=AD5,$J$87*AE5,IF($C$4=AD6,$J$87*AE6))))</f>
        <v>TBD</v>
      </c>
      <c r="D87" s="120"/>
      <c r="E87" s="122">
        <f>IF($C$4="",0,E85-SUMIF($B$63:$B$81,$B$68,E63:E81))</f>
        <v>0</v>
      </c>
      <c r="F87" s="122">
        <f>IF($C$4="",0,F85-SUMIF($B$63:$B$81,$B$68,F63:F81))</f>
        <v>0</v>
      </c>
      <c r="G87" s="122">
        <f>IF($C$4="",0,G85-SUMIF($B$63:$B$81,$B$68,G63:G81))</f>
        <v>0</v>
      </c>
      <c r="H87" s="122">
        <f>IF($C$4="",0,H85-SUMIF($B$63:$B$81,$B$68,H63:H81))</f>
        <v>0</v>
      </c>
      <c r="I87" s="122">
        <f>IF($C$4="",0,I85-SUMIF($B$63:$B$81,$B$68,I63:I81))</f>
        <v>0</v>
      </c>
      <c r="J87" s="123">
        <f t="shared" si="9"/>
        <v>0</v>
      </c>
    </row>
    <row r="88" spans="1:10" ht="4.5" customHeight="1" x14ac:dyDescent="0.2">
      <c r="A88" s="107"/>
      <c r="C88" s="120"/>
      <c r="D88" s="120"/>
      <c r="E88" s="44"/>
      <c r="F88" s="44"/>
      <c r="G88" s="44"/>
      <c r="H88" s="44"/>
      <c r="I88" s="44"/>
      <c r="J88" s="45"/>
    </row>
    <row r="89" spans="1:10" x14ac:dyDescent="0.2">
      <c r="A89" s="107" t="s">
        <v>89</v>
      </c>
      <c r="B89" s="117" t="s">
        <v>31</v>
      </c>
      <c r="D89" s="111"/>
      <c r="E89" s="39" t="str">
        <f>IF($C$3="TBD","TBD",IF($C$86&lt;$C$87,E86*$C$3,IF(AND($C$86&gt;$C$87,$C$4=$AD$4),E87*$AE$4,IF(AND($C$86&gt;$C$87,$C$4=$AD$5),E87*$AE$5,E87*$AE$6))))</f>
        <v>TBD</v>
      </c>
      <c r="F89" s="39" t="str">
        <f>IF($C$3="TBD","TBD",IF($C$86&lt;$C$87,F86*$C$3,IF(AND($C$86&gt;$C$87,$C$4=$AD$4),F87*$AE$4,IF(AND($C$86&gt;$C$87,$C$4=$AD$5),F87*$AE$5,F87*$AE$6))))</f>
        <v>TBD</v>
      </c>
      <c r="G89" s="39" t="str">
        <f>IF($C$3="TBD","TBD",IF($C$86&lt;$C$87,G86*$C$3,IF(AND($C$86&gt;$C$87,$C$4=$AD$4),G87*$AE$4,IF(AND($C$86&gt;$C$87,$C$4=$AD$5),G87*$AE$5,G87*$AE$6))))</f>
        <v>TBD</v>
      </c>
      <c r="H89" s="39" t="str">
        <f>IF($C$3="TBD","TBD",IF($C$86&lt;$C$87,H86*$C$3,IF(AND($C$86&gt;$C$87,$C$4=$AD$4),H87*$AE$4,IF(AND($C$86&gt;$C$87,$C$4=$AD$5),H87*$AE$5,H87*$AE$6))))</f>
        <v>TBD</v>
      </c>
      <c r="I89" s="39" t="str">
        <f>IF($C$3="TBD","TBD",IF($C$86&lt;$C$87,I86*$C$3,IF(AND($C$86&gt;$C$87,$C$4=$AD$4),I87*$AE$4,IF(AND($C$86&gt;$C$87,$C$4=$AD$5),I87*$AE$5,I87*$AE$6))))</f>
        <v>TBD</v>
      </c>
      <c r="J89" s="36">
        <f t="shared" si="9"/>
        <v>0</v>
      </c>
    </row>
    <row r="90" spans="1:10" ht="4.5" customHeight="1" x14ac:dyDescent="0.2">
      <c r="A90" s="107"/>
      <c r="C90" s="111"/>
      <c r="D90" s="111"/>
      <c r="E90" s="13"/>
      <c r="F90" s="13"/>
      <c r="G90" s="13"/>
      <c r="H90" s="13"/>
      <c r="I90" s="13"/>
      <c r="J90" s="24"/>
    </row>
    <row r="91" spans="1:10" ht="13.5" thickBot="1" x14ac:dyDescent="0.25">
      <c r="A91" s="124" t="s">
        <v>90</v>
      </c>
      <c r="B91" s="125" t="s">
        <v>32</v>
      </c>
      <c r="C91" s="126"/>
      <c r="D91" s="126"/>
      <c r="E91" s="49" t="str">
        <f>IF(E89="TBD","TBD",E89+E85)</f>
        <v>TBD</v>
      </c>
      <c r="F91" s="49" t="str">
        <f>IF(F89="TBD","TBD",F89+F85)</f>
        <v>TBD</v>
      </c>
      <c r="G91" s="49" t="str">
        <f>IF(G89="TBD","TBD",G89+G85)</f>
        <v>TBD</v>
      </c>
      <c r="H91" s="49" t="str">
        <f>IF(H89="TBD","TBD",H89+H85)</f>
        <v>TBD</v>
      </c>
      <c r="I91" s="49" t="str">
        <f>IF(I89="TBD","TBD",I89+I85)</f>
        <v>TBD</v>
      </c>
      <c r="J91" s="50">
        <f>SUM(E91:I91)</f>
        <v>0</v>
      </c>
    </row>
    <row r="92" spans="1:10" ht="4.5" customHeight="1" thickBot="1" x14ac:dyDescent="0.25">
      <c r="A92" s="103"/>
      <c r="B92" s="103"/>
      <c r="E92" s="103"/>
      <c r="F92" s="103"/>
      <c r="G92" s="103"/>
      <c r="H92" s="103"/>
      <c r="I92" s="103"/>
      <c r="J92" s="103"/>
    </row>
    <row r="93" spans="1:10" ht="12.75" customHeight="1" x14ac:dyDescent="0.2">
      <c r="A93" s="763" t="s">
        <v>55</v>
      </c>
      <c r="B93" s="127" t="s">
        <v>33</v>
      </c>
      <c r="C93" s="128"/>
      <c r="D93" s="127"/>
      <c r="E93" s="129">
        <f t="shared" ref="E93:J93" si="10">IF(E91="TBD",0,IF(E85=0,0,E89/E91))</f>
        <v>0</v>
      </c>
      <c r="F93" s="129">
        <f t="shared" si="10"/>
        <v>0</v>
      </c>
      <c r="G93" s="129">
        <f t="shared" si="10"/>
        <v>0</v>
      </c>
      <c r="H93" s="129">
        <f t="shared" si="10"/>
        <v>0</v>
      </c>
      <c r="I93" s="129">
        <f t="shared" si="10"/>
        <v>0</v>
      </c>
      <c r="J93" s="58">
        <f t="shared" si="10"/>
        <v>0</v>
      </c>
    </row>
    <row r="94" spans="1:10" ht="13.5" thickBot="1" x14ac:dyDescent="0.25">
      <c r="A94" s="764"/>
      <c r="B94" s="130" t="s">
        <v>40</v>
      </c>
      <c r="C94" s="131"/>
      <c r="D94" s="130"/>
      <c r="E94" s="139">
        <f>IF($C$3=$J$1,0,ROUND($J$1*(E85-E55-E60-E67-SUMIF($B$63:$B$81,#REF!,E63:E81)-E71),0)-E89)</f>
        <v>0</v>
      </c>
      <c r="F94" s="139">
        <f>IF($C$3=$J$1,0,ROUND($J$1*(F85-F55-F60-F67-SUMIF($B$63:$B$81,#REF!,F63:F81)-F71),0)-F89)</f>
        <v>0</v>
      </c>
      <c r="G94" s="139">
        <f>IF($C$3=$J$1,0,ROUND($J$1*(G85-G55-G60-G67-SUMIF($B$63:$B$81,#REF!,G63:G81)-G71),0)-G89)</f>
        <v>0</v>
      </c>
      <c r="H94" s="139">
        <f>IF($C$3=$J$1,0,ROUND($J$1*(H85-H55-H60-H67-SUMIF($B$63:$B$81,#REF!,H63:H81)-H71),0)-H89)</f>
        <v>0</v>
      </c>
      <c r="I94" s="139">
        <f>IF($C$3=$J$1,0,ROUND($J$1*(I85-I55-I60-I67-SUMIF($B$63:$B$81,#REF!,I63:I81)-I71),0)-I89)</f>
        <v>0</v>
      </c>
      <c r="J94" s="138">
        <f>IF($C$3=$J$1,0,ROUND($J$1*(J85-J55-J60-J67-SUMIF($B$63:$B$81,#REF!,J63:J81)-J71),0)-J89)</f>
        <v>0</v>
      </c>
    </row>
    <row r="95" spans="1:10" x14ac:dyDescent="0.2">
      <c r="F95" s="104"/>
      <c r="G95" s="104"/>
      <c r="H95" s="104"/>
      <c r="I95" s="104"/>
    </row>
    <row r="96" spans="1:10" x14ac:dyDescent="0.2">
      <c r="F96" s="104"/>
      <c r="G96" s="104"/>
      <c r="H96" s="104"/>
      <c r="I96" s="104"/>
    </row>
    <row r="161" spans="18:18" x14ac:dyDescent="0.2">
      <c r="R161" s="761"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62" spans="18:18" x14ac:dyDescent="0.2">
      <c r="R162" s="762"/>
    </row>
    <row r="163" spans="18:18" x14ac:dyDescent="0.2">
      <c r="R163" s="762"/>
    </row>
    <row r="164" spans="18:18" x14ac:dyDescent="0.2">
      <c r="R164" s="762"/>
    </row>
  </sheetData>
  <scenarios current="5" show="1" sqref="D54">
    <scenario name="On-camp instr" locked="1" count="2" user="Grants and Contracts" comment="Created by Grants and Contracts on 6/13/96_x000a_Modified by Grants and Contracts on 6/13/96">
      <inputCells r="J1" val="0.519" numFmtId="165"/>
      <inputCells r="J3" val="0.5" numFmtId="165"/>
    </scenario>
    <scenario name="On-camp res" locked="1" count="2" user="Grants and Contracts" comment="Created by Grants and Contracts on 6/13/96_x000a_Modified by Grants and Contracts on 6/13/96">
      <inputCells r="J1" val="0.555" numFmtId="165"/>
      <inputCells r="J3" val="0.345" numFmtId="165"/>
    </scenario>
    <scenario name="On-camp - other" locked="1" count="2" user="Grants and Contracts" comment="Created by Grants and Contracts on 6/13/96_x000a_Modified by Grants and Contracts on 6/13/96">
      <inputCells r="J1" val="0.237" numFmtId="165"/>
      <inputCells r="J3" val="0.513" numFmtId="165"/>
    </scenario>
    <scenario name="Off-camp instr" locked="1" count="2" user="Grants and Contracts" comment="Created by Grants and Contracts on 6/13/96">
      <inputCells r="J1" val="0.24" numFmtId="165"/>
      <inputCells r="J3" val="0.5" numFmtId="165"/>
    </scenario>
    <scenario name="Off-camp research" locked="1" count="2" user="Grants and Contracts" comment="Created by Grants and Contracts on 6/13/96">
      <inputCells r="J1" val="0.24" numFmtId="165"/>
      <inputCells r="J3" val="0.345" numFmtId="165"/>
    </scenario>
    <scenario name="Off-camp - other" locked="1" count="2" user="Grants and Contracts" comment="Created by Grants and Contracts on 6/13/96">
      <inputCells r="J1" val="0.187" numFmtId="165"/>
      <inputCells r="J3" val="0.513" numFmtId="165"/>
    </scenario>
  </scenarios>
  <mergeCells count="7">
    <mergeCell ref="R161:R164"/>
    <mergeCell ref="A93:A94"/>
    <mergeCell ref="C1:E1"/>
    <mergeCell ref="C2:E2"/>
    <mergeCell ref="A4:B4"/>
    <mergeCell ref="A5:B5"/>
    <mergeCell ref="A6:E10"/>
  </mergeCells>
  <conditionalFormatting sqref="B86:J86">
    <cfRule type="expression" dxfId="34" priority="3">
      <formula>$D$5="MTDC"</formula>
    </cfRule>
  </conditionalFormatting>
  <conditionalFormatting sqref="B87:J87">
    <cfRule type="expression" dxfId="33" priority="2">
      <formula>$D$5="Other-Direct Less Sub(s)"</formula>
    </cfRule>
  </conditionalFormatting>
  <dataValidations count="25">
    <dataValidation allowBlank="1" showInputMessage="1" showErrorMessage="1" promptTitle="Error Value" prompt="Select an Activity Type, Location, and F&amp;A Rate to Propose to in order to correct error." sqref="C5" xr:uid="{00000000-0002-0000-0300-000000000000}"/>
    <dataValidation allowBlank="1" showInputMessage="1" showErrorMessage="1" promptTitle="Notes" prompt="Add notes as necessary." sqref="A4:A5" xr:uid="{00000000-0002-0000-0300-000001000000}"/>
    <dataValidation allowBlank="1" showInputMessage="1" showErrorMessage="1" promptTitle="Do Not Edit" sqref="C3 E3" xr:uid="{00000000-0002-0000-0300-000002000000}"/>
    <dataValidation allowBlank="1" showErrorMessage="1" promptTitle="Note" prompt="MTDC or TDC will display based on the value selected in cell I3." sqref="B86:B87" xr:uid="{00000000-0002-0000-0300-000004000000}"/>
    <dataValidation allowBlank="1" showInputMessage="1" showErrorMessage="1" promptTitle="Applicable F&amp;A Rate" prompt="This field will dislpayed after inputting Activity Type and Location" sqref="J1" xr:uid="{00000000-0002-0000-0300-000005000000}"/>
    <dataValidation type="list" allowBlank="1" showInputMessage="1" showErrorMessage="1" promptTitle="Project Location" prompt="Select the Project Location." sqref="C2:E2" xr:uid="{00000000-0002-0000-0300-000006000000}">
      <formula1>$Z$3:$AA$3</formula1>
    </dataValidation>
    <dataValidation type="list" allowBlank="1" showErrorMessage="1" sqref="C4" xr:uid="{00000000-0002-0000-0300-000007000000}">
      <formula1>$AD$4</formula1>
    </dataValidation>
    <dataValidation type="list" allowBlank="1" showInputMessage="1" showErrorMessage="1" promptTitle="Do Not Edit" sqref="D3" xr:uid="{00000000-0002-0000-0300-000008000000}">
      <formula1>$AC$4</formula1>
    </dataValidation>
    <dataValidation allowBlank="1" showInputMessage="1" showErrorMessage="1" promptTitle="Additional Justification" prompt="Additional Justification is required." sqref="B42" xr:uid="{00000000-0002-0000-0300-000009000000}"/>
    <dataValidation allowBlank="1" showInputMessage="1" showErrorMessage="1" promptTitle="2 CFR 200.330(b)" prompt="Contractor (Vendor) Costs" sqref="B74" xr:uid="{00000000-0002-0000-0300-00000A000000}"/>
    <dataValidation allowBlank="1" showInputMessage="1" showErrorMessage="1" promptTitle="Service Activities" prompt="Description: https://www.obfs.uillinois.edu/government-costing/service-Activities/" sqref="B76" xr:uid="{00000000-0002-0000-0300-00000B000000}"/>
    <dataValidation allowBlank="1" showInputMessage="1" showErrorMessage="1" promptTitle="2 CFR 200.92" prompt="Subaward" sqref="B68:B69" xr:uid="{00000000-0002-0000-0300-00000C000000}"/>
    <dataValidation allowBlank="1" showErrorMessage="1" promptTitle="2 CFR 200.92" prompt="With MTDC basis, the first $25,000 of each subaward is assessed F&amp;A costs. " sqref="E68:E69" xr:uid="{00000000-0002-0000-0300-00000D000000}"/>
    <dataValidation allowBlank="1" showInputMessage="1" showErrorMessage="1" promptTitle="2 CFR 200.430" prompt="Compensation-personal services" sqref="B12 B29" xr:uid="{00000000-0002-0000-0300-00000E000000}"/>
    <dataValidation allowBlank="1" showInputMessage="1" showErrorMessage="1" promptTitle="2 CFR 200.431" prompt="Compensation-fringe benefits" sqref="B52" xr:uid="{00000000-0002-0000-0300-00000F000000}"/>
    <dataValidation allowBlank="1" showInputMessage="1" showErrorMessage="1" promptTitle="Graduate College-Assistantships" prompt="https://grad.illinois.edu/assistantships" sqref="B34 B36" xr:uid="{00000000-0002-0000-0300-000010000000}"/>
    <dataValidation allowBlank="1" showInputMessage="1" showErrorMessage="1" promptTitle="Minimum Salary" prompt="FY 2020 Campus Budget Guidelines: https://www.obfs.uillinois.edu/budgeting/urbana-champaign-campus/budget-guidelines/fy-2020" sqref="B30" xr:uid="{00000000-0002-0000-0300-000011000000}"/>
    <dataValidation allowBlank="1" showInputMessage="1" showErrorMessage="1" promptTitle="OBFS 15" prompt="Travel Reimbursement and Per Diem: https://www.obfs.uillinois.edu/bfpp/section-15-travel/travel-reimbursement-and-per-diem" sqref="B57:B58" xr:uid="{00000000-0002-0000-0300-000012000000}"/>
    <dataValidation allowBlank="1" showInputMessage="1" showErrorMessage="1" promptTitle="2 CFR 200.33" prompt="Tangible personal property having a useful life of more than one year and a per-unit acquisition cost which equals or exceeds $5,000." sqref="B55" xr:uid="{00000000-0002-0000-0300-000013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0" xr:uid="{00000000-0002-0000-0300-000014000000}"/>
    <dataValidation allowBlank="1" showInputMessage="1" showErrorMessage="1" promptTitle="2 CFR 200.314" prompt="Supplies" sqref="B63" xr:uid="{00000000-0002-0000-0300-000015000000}"/>
    <dataValidation allowBlank="1" showInputMessage="1" showErrorMessage="1" promptTitle="2 CFR 200.461" prompt="Publication and printing costs" sqref="B64" xr:uid="{00000000-0002-0000-0300-000016000000}"/>
    <dataValidation allowBlank="1" showInputMessage="1" showErrorMessage="1" promptTitle="2 CFR 200.459" prompt="Professional Service Costs" sqref="B65" xr:uid="{00000000-0002-0000-0300-000017000000}"/>
    <dataValidation allowBlank="1" showInputMessage="1" showErrorMessage="1" promptTitle="Internal Program Rate" prompt="May be deemed as prohibited voluntary cost share by NSF." sqref="B67" xr:uid="{AA400F93-DE91-4F0F-ABC7-E3FEE3FB501E}"/>
    <dataValidation type="list" allowBlank="1" showInputMessage="1" showErrorMessage="1" promptTitle="Project Activity Type" prompt="Select the Project Activity Type." sqref="C1:E1" xr:uid="{00000000-0002-0000-0300-000003000000}">
      <formula1>$Y$4:$Y$9</formula1>
    </dataValidation>
  </dataValidations>
  <hyperlinks>
    <hyperlink ref="B76" r:id="rId1" xr:uid="{00000000-0004-0000-0300-000000000000}"/>
  </hyperlinks>
  <printOptions horizontalCentered="1"/>
  <pageMargins left="0.25" right="0.25" top="0.75" bottom="0.75" header="0.3" footer="0.3"/>
  <pageSetup scale="32" fitToHeight="0" orientation="portrait" r:id="rId2"/>
  <headerFooter alignWithMargins="0">
    <oddHeader>&amp;L&amp;G&amp;C&amp;"Arial,Bold"&amp;12SPA Budget Template - FY27&amp;RPage &amp;P of &amp;N</oddHeader>
    <oddFooter>&amp;LSPA v.03042026&amp;RLast Updated: &amp;D</oddFooter>
  </headerFooter>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79998168889431442"/>
    <pageSetUpPr fitToPage="1"/>
  </sheetPr>
  <dimension ref="A1:AX164"/>
  <sheetViews>
    <sheetView showGridLines="0" zoomScale="115" zoomScaleNormal="115" workbookViewId="0">
      <pane ySplit="10" topLeftCell="A58" activePane="bottomLeft" state="frozen"/>
      <selection activeCell="D12" sqref="D12"/>
      <selection pane="bottomLeft" activeCell="J5" sqref="J5"/>
    </sheetView>
  </sheetViews>
  <sheetFormatPr defaultColWidth="9.140625" defaultRowHeight="12.75" x14ac:dyDescent="0.2"/>
  <cols>
    <col min="1" max="1" width="3.7109375" style="132" customWidth="1"/>
    <col min="2" max="2" width="17.140625" style="108" customWidth="1"/>
    <col min="3" max="3" width="9.5703125" style="103" customWidth="1"/>
    <col min="4" max="4" width="7.85546875" style="103" customWidth="1"/>
    <col min="5" max="5" width="13.28515625" style="104" customWidth="1"/>
    <col min="6" max="9" width="13.28515625" style="14" customWidth="1"/>
    <col min="10" max="10" width="13.28515625" style="56" customWidth="1"/>
    <col min="11" max="11" width="9.140625" style="103" customWidth="1"/>
    <col min="12" max="16384" width="9.140625" style="103"/>
  </cols>
  <sheetData>
    <row r="1" spans="1:50" ht="10.5" customHeight="1" x14ac:dyDescent="0.2">
      <c r="A1" s="173" t="s">
        <v>18</v>
      </c>
      <c r="B1" s="174"/>
      <c r="C1" s="765"/>
      <c r="D1" s="765"/>
      <c r="E1" s="765"/>
      <c r="F1" s="660" t="s">
        <v>9</v>
      </c>
      <c r="G1" s="175"/>
      <c r="H1" s="175"/>
      <c r="I1" s="175"/>
      <c r="J1" s="148" t="str">
        <f>IF(AND($C$1=$Y$4,$C$2=$Z$3),$Z$4,IF(AND($C$1=$Y$4,$C$2=$AA$3),$AA$4,IF(AND($C$1=$Y$5,$C$2=$Z$3),$Z$5,IF(AND($C$1=$Y$5,$C$2=$AA$3),$AA$5,IF(AND($C$1=$Y$6,$C$2=$Z$3),$Z$6,IF(AND($C$1=$Y$6,$C$2=$AA$3),AA6,IF($C$1=$Y$7,$Z$7,IF($C$1=$Y$8,$Z$8,IF(AND($C$1=$Y$9,$C$2=$Z$3),$Z$4,IF(AND($C$1=$Y$9,$C$2=$AA$3),$AA$4,"TBD"))))))))))</f>
        <v>TBD</v>
      </c>
      <c r="K1"/>
      <c r="L1"/>
      <c r="M1" s="415"/>
    </row>
    <row r="2" spans="1:50" ht="10.5" customHeight="1" x14ac:dyDescent="0.2">
      <c r="A2" s="176" t="s">
        <v>17</v>
      </c>
      <c r="B2" s="150"/>
      <c r="C2" s="741"/>
      <c r="D2" s="741"/>
      <c r="E2" s="741"/>
      <c r="F2" s="660" t="s">
        <v>65</v>
      </c>
      <c r="G2" s="150"/>
      <c r="H2" s="150"/>
      <c r="I2" s="150"/>
      <c r="J2" s="151" t="str">
        <f>IF($C$1=Y4,AC4,IF($C$1=Y5,AC4,IF($C$1=Y6,AC4, IF($C$1=Y9,AC4,IF($C$1=Y7,AC5,IF($C$1=Y8,AC5,AC4))))))</f>
        <v>MTDC</v>
      </c>
    </row>
    <row r="3" spans="1:50" ht="11.25" customHeight="1" x14ac:dyDescent="0.2">
      <c r="A3" s="176" t="s">
        <v>49</v>
      </c>
      <c r="B3" s="150"/>
      <c r="C3" s="177" t="str">
        <f>$J$1</f>
        <v>TBD</v>
      </c>
      <c r="D3" s="177" t="s">
        <v>27</v>
      </c>
      <c r="E3" s="177"/>
      <c r="F3" s="660" t="s">
        <v>10</v>
      </c>
      <c r="G3" s="178"/>
      <c r="H3" s="178"/>
      <c r="I3" s="178"/>
      <c r="J3" s="151">
        <f>IF(C1="Other Sponsored Activity", 60%, 64%)</f>
        <v>0.64</v>
      </c>
      <c r="Y3" s="15"/>
      <c r="Z3" t="s">
        <v>14</v>
      </c>
      <c r="AA3" t="s">
        <v>15</v>
      </c>
      <c r="AB3"/>
      <c r="AC3" s="11" t="s">
        <v>26</v>
      </c>
      <c r="AD3" s="103" t="s">
        <v>50</v>
      </c>
      <c r="AE3" s="103" t="s">
        <v>51</v>
      </c>
    </row>
    <row r="4" spans="1:50" ht="10.5" customHeight="1" x14ac:dyDescent="0.2">
      <c r="A4" s="766" t="s">
        <v>113</v>
      </c>
      <c r="B4" s="767"/>
      <c r="C4" s="269">
        <v>0.15</v>
      </c>
      <c r="D4" s="177" t="s">
        <v>81</v>
      </c>
      <c r="E4" s="179"/>
      <c r="F4" s="660" t="s">
        <v>11</v>
      </c>
      <c r="G4" s="178"/>
      <c r="H4" s="178"/>
      <c r="I4" s="178"/>
      <c r="J4" s="151">
        <v>0.40889999999999999</v>
      </c>
      <c r="Y4" t="s">
        <v>59</v>
      </c>
      <c r="Z4" s="16">
        <v>0.59499999999999997</v>
      </c>
      <c r="AA4" s="16">
        <v>0.26</v>
      </c>
      <c r="AB4"/>
      <c r="AC4" s="17" t="s">
        <v>27</v>
      </c>
      <c r="AD4" s="16">
        <v>0.3</v>
      </c>
      <c r="AE4" s="105">
        <f>(1/(1-AD4))-1</f>
        <v>0.4285714285714286</v>
      </c>
    </row>
    <row r="5" spans="1:50" ht="11.25" customHeight="1" thickBot="1" x14ac:dyDescent="0.25">
      <c r="A5" s="766" t="s">
        <v>52</v>
      </c>
      <c r="B5" s="767"/>
      <c r="C5" s="180" t="str">
        <f>IF(OR($E$87=0,$C$1="",$C$2="",$C$4=""),"TBD",IF($C$88&lt;$C$89,$C$3,IF($C$4=$AD$4,$AE$4,IF($C$4=$AD$5,$AE$5,IF($C$4=$AD$6,$AE$6)))))</f>
        <v>TBD</v>
      </c>
      <c r="D5" s="181" t="str">
        <f>IF(OR($E$87=0,$C$1="",$C$2="",$C$4=""),"TBD",IF(C88&lt;C89,"MTDC","TDC (TDC+)"))</f>
        <v>TBD</v>
      </c>
      <c r="E5" s="177"/>
      <c r="F5" s="660" t="s">
        <v>154</v>
      </c>
      <c r="G5" s="178"/>
      <c r="H5" s="178"/>
      <c r="I5" s="178"/>
      <c r="J5" s="151">
        <v>8.5500000000000007E-2</v>
      </c>
      <c r="Y5" t="s">
        <v>60</v>
      </c>
      <c r="Z5" s="16">
        <v>0.433</v>
      </c>
      <c r="AA5" s="16">
        <v>0.26</v>
      </c>
      <c r="AB5"/>
      <c r="AC5" s="17" t="s">
        <v>28</v>
      </c>
      <c r="AD5" s="16">
        <v>0.22</v>
      </c>
      <c r="AE5" s="105">
        <f>(1/(1-AD5))-1</f>
        <v>0.28205128205128194</v>
      </c>
    </row>
    <row r="6" spans="1:50" ht="12.6" customHeight="1" x14ac:dyDescent="0.2">
      <c r="A6" s="768" t="s">
        <v>107</v>
      </c>
      <c r="B6" s="769"/>
      <c r="C6" s="769"/>
      <c r="D6" s="769"/>
      <c r="E6" s="770"/>
      <c r="F6" s="660" t="s">
        <v>155</v>
      </c>
      <c r="J6" s="151">
        <v>0.16200000000000001</v>
      </c>
      <c r="Y6" t="s">
        <v>16</v>
      </c>
      <c r="Z6" s="16">
        <v>0.308</v>
      </c>
      <c r="AA6" s="16">
        <v>0.219</v>
      </c>
      <c r="AB6"/>
      <c r="AC6" s="17" t="s">
        <v>61</v>
      </c>
      <c r="AD6" s="16">
        <v>0.15</v>
      </c>
      <c r="AE6" s="105">
        <f>(1/(1-AD6))-1</f>
        <v>0.17647058823529416</v>
      </c>
    </row>
    <row r="7" spans="1:50" ht="12.6" customHeight="1" x14ac:dyDescent="0.2">
      <c r="A7" s="771"/>
      <c r="B7" s="772"/>
      <c r="C7" s="772"/>
      <c r="D7" s="772"/>
      <c r="E7" s="773"/>
      <c r="F7" s="660" t="s">
        <v>167</v>
      </c>
      <c r="G7" s="178"/>
      <c r="H7" s="178"/>
      <c r="I7" s="178"/>
      <c r="J7" s="153">
        <v>1E-4</v>
      </c>
      <c r="Y7" t="s">
        <v>62</v>
      </c>
      <c r="Z7" s="141">
        <v>0</v>
      </c>
      <c r="AA7" s="141"/>
    </row>
    <row r="8" spans="1:50" ht="12.6" customHeight="1" x14ac:dyDescent="0.2">
      <c r="A8" s="771"/>
      <c r="B8" s="772"/>
      <c r="C8" s="772"/>
      <c r="D8" s="772"/>
      <c r="E8" s="773"/>
      <c r="F8" s="660" t="s">
        <v>168</v>
      </c>
      <c r="G8" s="178"/>
      <c r="H8" s="178"/>
      <c r="I8" s="178"/>
      <c r="J8" s="151">
        <v>7.6600000000000001E-2</v>
      </c>
      <c r="Y8" t="s">
        <v>63</v>
      </c>
      <c r="Z8" s="141">
        <v>0.26</v>
      </c>
      <c r="AA8" s="141"/>
    </row>
    <row r="9" spans="1:50" ht="12.6" customHeight="1" x14ac:dyDescent="0.2">
      <c r="A9" s="771"/>
      <c r="B9" s="772"/>
      <c r="C9" s="772"/>
      <c r="D9" s="772"/>
      <c r="E9" s="773"/>
      <c r="F9" s="206" t="s">
        <v>38</v>
      </c>
      <c r="G9" s="178"/>
      <c r="H9" s="178"/>
      <c r="I9" s="178"/>
      <c r="J9" s="280">
        <v>0.03</v>
      </c>
      <c r="Y9" s="249" t="s">
        <v>64</v>
      </c>
      <c r="Z9" s="16"/>
      <c r="AA9" s="141"/>
    </row>
    <row r="10" spans="1:50" ht="13.5" thickBot="1" x14ac:dyDescent="0.25">
      <c r="A10" s="771"/>
      <c r="B10" s="772"/>
      <c r="C10" s="772"/>
      <c r="D10" s="772"/>
      <c r="E10" s="773"/>
      <c r="F10" s="212" t="s">
        <v>39</v>
      </c>
      <c r="G10" s="210"/>
      <c r="H10" s="211"/>
      <c r="I10" s="244"/>
      <c r="J10" s="407">
        <v>0.04</v>
      </c>
      <c r="AA10" s="16"/>
    </row>
    <row r="11" spans="1:50" s="106" customFormat="1" ht="15.95" customHeight="1" x14ac:dyDescent="0.35">
      <c r="A11" s="423"/>
      <c r="B11" s="424"/>
      <c r="C11" s="425"/>
      <c r="D11" s="425"/>
      <c r="E11" s="417" t="s">
        <v>74</v>
      </c>
      <c r="F11" s="418" t="s">
        <v>75</v>
      </c>
      <c r="G11" s="418" t="s">
        <v>76</v>
      </c>
      <c r="H11" s="418" t="s">
        <v>77</v>
      </c>
      <c r="I11" s="418" t="s">
        <v>78</v>
      </c>
      <c r="J11" s="419" t="s">
        <v>0</v>
      </c>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row>
    <row r="12" spans="1:50" s="106" customFormat="1" ht="15" x14ac:dyDescent="0.35">
      <c r="A12" s="20" t="s">
        <v>1</v>
      </c>
      <c r="B12" s="161" t="s">
        <v>86</v>
      </c>
      <c r="E12" s="416"/>
      <c r="F12" s="420"/>
      <c r="G12" s="420"/>
      <c r="H12" s="420"/>
      <c r="I12" s="420"/>
      <c r="J12" s="57"/>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row>
    <row r="13" spans="1:50" ht="12.75" customHeight="1" x14ac:dyDescent="0.2">
      <c r="A13" s="107"/>
      <c r="B13" s="142" t="s">
        <v>73</v>
      </c>
      <c r="C13" s="110" t="s">
        <v>20</v>
      </c>
      <c r="D13" s="277"/>
      <c r="E13" s="1">
        <v>0</v>
      </c>
      <c r="F13" s="2">
        <f>ROUND(E13*(1+$J$9),0)</f>
        <v>0</v>
      </c>
      <c r="G13" s="2">
        <f>ROUND(F13*(1+$J$9),0)</f>
        <v>0</v>
      </c>
      <c r="H13" s="2">
        <f>ROUND(G13*(1+$J$9),0)</f>
        <v>0</v>
      </c>
      <c r="I13" s="2">
        <f>ROUND(H13*(1+$J$9),0)</f>
        <v>0</v>
      </c>
      <c r="J13" s="24">
        <f>SUM(E13:I13)</f>
        <v>0</v>
      </c>
    </row>
    <row r="14" spans="1:50" ht="12.75" customHeight="1" x14ac:dyDescent="0.2">
      <c r="A14" s="107"/>
      <c r="B14" s="274"/>
      <c r="C14" s="182" t="s">
        <v>21</v>
      </c>
      <c r="D14" s="144">
        <f>$J$4</f>
        <v>0.40889999999999999</v>
      </c>
      <c r="E14" s="171">
        <f>ROUND(E13*$D14,0)</f>
        <v>0</v>
      </c>
      <c r="F14" s="171">
        <f>ROUND(F13*$D14,0)</f>
        <v>0</v>
      </c>
      <c r="G14" s="171">
        <f>ROUND(G13*$D14,0)</f>
        <v>0</v>
      </c>
      <c r="H14" s="171">
        <f>ROUND(H13*$D14,0)</f>
        <v>0</v>
      </c>
      <c r="I14" s="171">
        <f>ROUND(I13*$D14,0)</f>
        <v>0</v>
      </c>
      <c r="J14" s="172">
        <f t="shared" ref="J14:J28" si="0">SUM(E14:I14)</f>
        <v>0</v>
      </c>
    </row>
    <row r="15" spans="1:50" ht="12.75" customHeight="1" x14ac:dyDescent="0.2">
      <c r="A15" s="107"/>
      <c r="B15" s="142" t="s">
        <v>69</v>
      </c>
      <c r="C15" s="110" t="s">
        <v>20</v>
      </c>
      <c r="D15" s="277"/>
      <c r="E15" s="2">
        <v>0</v>
      </c>
      <c r="F15" s="2">
        <f>ROUND(E15*(1+$J$9), 0)</f>
        <v>0</v>
      </c>
      <c r="G15" s="2">
        <f>ROUND(F15*(1+$J$9), 0)</f>
        <v>0</v>
      </c>
      <c r="H15" s="2">
        <f>ROUND(G15*(1+$J$9), 0)</f>
        <v>0</v>
      </c>
      <c r="I15" s="2">
        <f>ROUND(H15*(1+$J$9), 0)</f>
        <v>0</v>
      </c>
      <c r="J15" s="24">
        <f t="shared" si="0"/>
        <v>0</v>
      </c>
    </row>
    <row r="16" spans="1:50" ht="12.75" customHeight="1" x14ac:dyDescent="0.2">
      <c r="A16" s="107"/>
      <c r="B16" s="274"/>
      <c r="C16" s="182" t="s">
        <v>21</v>
      </c>
      <c r="D16" s="144">
        <f>$J$4</f>
        <v>0.40889999999999999</v>
      </c>
      <c r="E16" s="171">
        <f>ROUND(E15*$D16,0)</f>
        <v>0</v>
      </c>
      <c r="F16" s="171">
        <f>ROUND(F15*$D16,0)</f>
        <v>0</v>
      </c>
      <c r="G16" s="171">
        <f>ROUND(G15*$D16,0)</f>
        <v>0</v>
      </c>
      <c r="H16" s="171">
        <f>ROUND(H15*$D16,0)</f>
        <v>0</v>
      </c>
      <c r="I16" s="171">
        <f>ROUND(I15*$D16,0)</f>
        <v>0</v>
      </c>
      <c r="J16" s="172">
        <f t="shared" si="0"/>
        <v>0</v>
      </c>
    </row>
    <row r="17" spans="1:10" x14ac:dyDescent="0.2">
      <c r="A17" s="107"/>
      <c r="B17" s="142" t="s">
        <v>70</v>
      </c>
      <c r="C17" s="110" t="s">
        <v>20</v>
      </c>
      <c r="D17" s="277"/>
      <c r="E17" s="2">
        <v>0</v>
      </c>
      <c r="F17" s="2">
        <f>ROUND(E17*(1+$J$9), 0)</f>
        <v>0</v>
      </c>
      <c r="G17" s="2">
        <f>ROUND(F17*(1+$J$9), 0)</f>
        <v>0</v>
      </c>
      <c r="H17" s="2">
        <f>ROUND(G17*(1+$J$9), 0)</f>
        <v>0</v>
      </c>
      <c r="I17" s="2">
        <f>ROUND(H17*(1+$J$9), 0)</f>
        <v>0</v>
      </c>
      <c r="J17" s="24">
        <f t="shared" si="0"/>
        <v>0</v>
      </c>
    </row>
    <row r="18" spans="1:10" x14ac:dyDescent="0.2">
      <c r="A18" s="107"/>
      <c r="B18" s="274"/>
      <c r="C18" s="182" t="s">
        <v>21</v>
      </c>
      <c r="D18" s="144">
        <f>$J$4</f>
        <v>0.40889999999999999</v>
      </c>
      <c r="E18" s="171">
        <f>ROUND(E17*$D18,0)</f>
        <v>0</v>
      </c>
      <c r="F18" s="171">
        <f>ROUND(F17*$D18,0)</f>
        <v>0</v>
      </c>
      <c r="G18" s="171">
        <f>ROUND(G17*$D18,0)</f>
        <v>0</v>
      </c>
      <c r="H18" s="171">
        <f>ROUND(H17*$D18,0)</f>
        <v>0</v>
      </c>
      <c r="I18" s="171">
        <f>ROUND(I17*$D18,0)</f>
        <v>0</v>
      </c>
      <c r="J18" s="172">
        <f>SUM(E18:I18)</f>
        <v>0</v>
      </c>
    </row>
    <row r="19" spans="1:10" x14ac:dyDescent="0.2">
      <c r="A19" s="107"/>
      <c r="B19" s="142" t="s">
        <v>71</v>
      </c>
      <c r="C19" s="110" t="s">
        <v>20</v>
      </c>
      <c r="D19" s="277"/>
      <c r="E19" s="2">
        <v>0</v>
      </c>
      <c r="F19" s="2">
        <f>ROUND(E19*(1+$J$9), 0)</f>
        <v>0</v>
      </c>
      <c r="G19" s="2">
        <f>ROUND(F19*(1+$J$9), 0)</f>
        <v>0</v>
      </c>
      <c r="H19" s="2">
        <f>ROUND(G19*(1+$J$9), 0)</f>
        <v>0</v>
      </c>
      <c r="I19" s="2">
        <f>ROUND(H19*(1+$J$9), 0)</f>
        <v>0</v>
      </c>
      <c r="J19" s="24">
        <f t="shared" si="0"/>
        <v>0</v>
      </c>
    </row>
    <row r="20" spans="1:10" x14ac:dyDescent="0.2">
      <c r="A20" s="107"/>
      <c r="B20" s="274"/>
      <c r="C20" s="182" t="s">
        <v>21</v>
      </c>
      <c r="D20" s="144">
        <f>$J$4</f>
        <v>0.40889999999999999</v>
      </c>
      <c r="E20" s="171">
        <f>ROUND(E19*$D20,0)</f>
        <v>0</v>
      </c>
      <c r="F20" s="171">
        <f>ROUND(F19*$D20,0)</f>
        <v>0</v>
      </c>
      <c r="G20" s="171">
        <f>ROUND(G19*$D20,0)</f>
        <v>0</v>
      </c>
      <c r="H20" s="171">
        <f>ROUND(H19*$D20,0)</f>
        <v>0</v>
      </c>
      <c r="I20" s="171">
        <f>ROUND(I19*$D20,0)</f>
        <v>0</v>
      </c>
      <c r="J20" s="172">
        <f t="shared" si="0"/>
        <v>0</v>
      </c>
    </row>
    <row r="21" spans="1:10" x14ac:dyDescent="0.2">
      <c r="A21" s="107"/>
      <c r="B21" s="142" t="s">
        <v>72</v>
      </c>
      <c r="C21" s="110" t="s">
        <v>20</v>
      </c>
      <c r="D21" s="277"/>
      <c r="E21" s="2">
        <v>0</v>
      </c>
      <c r="F21" s="2">
        <f>ROUND(E21*(1+$J$9), 0)</f>
        <v>0</v>
      </c>
      <c r="G21" s="2">
        <f>ROUND(F21*(1+$J$9), 0)</f>
        <v>0</v>
      </c>
      <c r="H21" s="2">
        <f>ROUND(G21*(1+$J$9), 0)</f>
        <v>0</v>
      </c>
      <c r="I21" s="2">
        <f>ROUND(H21*(1+$J$9), 0)</f>
        <v>0</v>
      </c>
      <c r="J21" s="24">
        <f t="shared" si="0"/>
        <v>0</v>
      </c>
    </row>
    <row r="22" spans="1:10" x14ac:dyDescent="0.2">
      <c r="A22" s="107"/>
      <c r="B22" s="275"/>
      <c r="C22" s="182" t="s">
        <v>21</v>
      </c>
      <c r="D22" s="144">
        <f>$J$4</f>
        <v>0.40889999999999999</v>
      </c>
      <c r="E22" s="171">
        <f>ROUND(E21*$D22,0)</f>
        <v>0</v>
      </c>
      <c r="F22" s="171">
        <f>ROUND(F21*$D22,0)</f>
        <v>0</v>
      </c>
      <c r="G22" s="171">
        <f>ROUND(G21*$D22,0)</f>
        <v>0</v>
      </c>
      <c r="H22" s="171">
        <f>ROUND(H21*$D22,0)</f>
        <v>0</v>
      </c>
      <c r="I22" s="171">
        <f>ROUND(I21*$D22,0)</f>
        <v>0</v>
      </c>
      <c r="J22" s="172">
        <f t="shared" si="0"/>
        <v>0</v>
      </c>
    </row>
    <row r="23" spans="1:10" x14ac:dyDescent="0.2">
      <c r="A23" s="107"/>
      <c r="B23" s="109" t="s">
        <v>22</v>
      </c>
      <c r="C23" s="110" t="s">
        <v>20</v>
      </c>
      <c r="D23" s="277"/>
      <c r="E23" s="2">
        <v>0</v>
      </c>
      <c r="F23" s="2">
        <f>ROUND(E23*(1+$J$9), 0)</f>
        <v>0</v>
      </c>
      <c r="G23" s="2">
        <f>ROUND(F23*(1+$J$9), 0)</f>
        <v>0</v>
      </c>
      <c r="H23" s="2">
        <f>ROUND(G23*(1+$J$9), 0)</f>
        <v>0</v>
      </c>
      <c r="I23" s="2">
        <f>ROUND(H23*(1+$J$9), 0)</f>
        <v>0</v>
      </c>
      <c r="J23" s="24">
        <f t="shared" si="0"/>
        <v>0</v>
      </c>
    </row>
    <row r="24" spans="1:10" x14ac:dyDescent="0.2">
      <c r="A24" s="107"/>
      <c r="B24" s="275"/>
      <c r="C24" s="182" t="s">
        <v>21</v>
      </c>
      <c r="D24" s="144">
        <f>$J$4</f>
        <v>0.40889999999999999</v>
      </c>
      <c r="E24" s="171">
        <f>ROUND(E23*$D24,0)</f>
        <v>0</v>
      </c>
      <c r="F24" s="171">
        <f>ROUND(F23*$D24,0)</f>
        <v>0</v>
      </c>
      <c r="G24" s="171">
        <f>ROUND(G23*$D24,0)</f>
        <v>0</v>
      </c>
      <c r="H24" s="171">
        <f>ROUND(H23*$D24,0)</f>
        <v>0</v>
      </c>
      <c r="I24" s="171">
        <f>ROUND(I23*$D24,0)</f>
        <v>0</v>
      </c>
      <c r="J24" s="172">
        <f t="shared" si="0"/>
        <v>0</v>
      </c>
    </row>
    <row r="25" spans="1:10" ht="4.5" customHeight="1" x14ac:dyDescent="0.2">
      <c r="A25" s="107"/>
      <c r="C25" s="111"/>
      <c r="D25" s="112"/>
      <c r="E25" s="13"/>
      <c r="F25" s="13"/>
      <c r="G25" s="13"/>
      <c r="H25" s="13"/>
      <c r="I25" s="13"/>
      <c r="J25" s="24"/>
    </row>
    <row r="26" spans="1:10" x14ac:dyDescent="0.2">
      <c r="A26" s="107"/>
      <c r="B26" s="204" t="s">
        <v>91</v>
      </c>
      <c r="C26" s="114" t="s">
        <v>20</v>
      </c>
      <c r="D26" s="112"/>
      <c r="E26" s="13">
        <f>SUMIF($C$13:$C$25,$C26,E$13:E$25)</f>
        <v>0</v>
      </c>
      <c r="F26" s="13">
        <f t="shared" ref="F26:I27" si="1">SUMIF($C$13:$C$25,$C26,F$13:F$25)</f>
        <v>0</v>
      </c>
      <c r="G26" s="13">
        <f t="shared" si="1"/>
        <v>0</v>
      </c>
      <c r="H26" s="13">
        <f t="shared" si="1"/>
        <v>0</v>
      </c>
      <c r="I26" s="13">
        <f t="shared" si="1"/>
        <v>0</v>
      </c>
      <c r="J26" s="24">
        <f t="shared" si="0"/>
        <v>0</v>
      </c>
    </row>
    <row r="27" spans="1:10" x14ac:dyDescent="0.2">
      <c r="A27" s="115"/>
      <c r="B27" s="103"/>
      <c r="C27" s="116" t="s">
        <v>21</v>
      </c>
      <c r="D27" s="250"/>
      <c r="E27" s="235">
        <f>SUMIF($C$13:$C$25,$C27,E$13:E$25)</f>
        <v>0</v>
      </c>
      <c r="F27" s="235">
        <f t="shared" si="1"/>
        <v>0</v>
      </c>
      <c r="G27" s="235">
        <f t="shared" si="1"/>
        <v>0</v>
      </c>
      <c r="H27" s="235">
        <f t="shared" si="1"/>
        <v>0</v>
      </c>
      <c r="I27" s="235">
        <f t="shared" si="1"/>
        <v>0</v>
      </c>
      <c r="J27" s="199">
        <f t="shared" si="0"/>
        <v>0</v>
      </c>
    </row>
    <row r="28" spans="1:10" x14ac:dyDescent="0.2">
      <c r="A28" s="115"/>
      <c r="B28" s="103"/>
      <c r="C28" s="114" t="s">
        <v>0</v>
      </c>
      <c r="D28" s="117"/>
      <c r="E28" s="40">
        <f>SUM(E26:E27)</f>
        <v>0</v>
      </c>
      <c r="F28" s="40">
        <f>SUM(F26:F27)</f>
        <v>0</v>
      </c>
      <c r="G28" s="40">
        <f>SUM(G26:G27)</f>
        <v>0</v>
      </c>
      <c r="H28" s="40">
        <f>SUM(H26:H27)</f>
        <v>0</v>
      </c>
      <c r="I28" s="40">
        <f>SUM(I26:I27)</f>
        <v>0</v>
      </c>
      <c r="J28" s="36">
        <f t="shared" si="0"/>
        <v>0</v>
      </c>
    </row>
    <row r="29" spans="1:10" ht="12.75" customHeight="1" x14ac:dyDescent="0.2">
      <c r="A29" s="20" t="s">
        <v>2</v>
      </c>
      <c r="B29" s="161" t="s">
        <v>87</v>
      </c>
      <c r="E29" s="13"/>
      <c r="F29" s="13"/>
      <c r="G29" s="13"/>
      <c r="H29" s="13"/>
      <c r="I29" s="13"/>
      <c r="J29" s="24"/>
    </row>
    <row r="30" spans="1:10" x14ac:dyDescent="0.2">
      <c r="A30" s="107"/>
      <c r="B30" s="142" t="s">
        <v>110</v>
      </c>
      <c r="C30" s="110" t="s">
        <v>20</v>
      </c>
      <c r="D30" s="277"/>
      <c r="E30" s="2">
        <v>0</v>
      </c>
      <c r="F30" s="2">
        <f>ROUND(E30*(1+$J$9), 0)</f>
        <v>0</v>
      </c>
      <c r="G30" s="2">
        <f>ROUND(F30*(1+$J$9), 0)</f>
        <v>0</v>
      </c>
      <c r="H30" s="2">
        <f>ROUND(G30*(1+$J$9), 0)</f>
        <v>0</v>
      </c>
      <c r="I30" s="2">
        <f>ROUND(H30*(1+$J$9), 0)</f>
        <v>0</v>
      </c>
      <c r="J30" s="24">
        <f t="shared" ref="J30:J53" si="2">SUM(E30:I30)</f>
        <v>0</v>
      </c>
    </row>
    <row r="31" spans="1:10" x14ac:dyDescent="0.2">
      <c r="A31" s="107"/>
      <c r="B31" s="275"/>
      <c r="C31" s="182" t="s">
        <v>21</v>
      </c>
      <c r="D31" s="144">
        <f>$J$4</f>
        <v>0.40889999999999999</v>
      </c>
      <c r="E31" s="171">
        <f>ROUND(E30*$D31,0)</f>
        <v>0</v>
      </c>
      <c r="F31" s="171">
        <f>ROUND(F30*$D31,0)</f>
        <v>0</v>
      </c>
      <c r="G31" s="171">
        <f>ROUND(G30*$D31,0)</f>
        <v>0</v>
      </c>
      <c r="H31" s="171">
        <f>ROUND(H30*$D31,0)</f>
        <v>0</v>
      </c>
      <c r="I31" s="171">
        <f>ROUND(I30*$D31,0)</f>
        <v>0</v>
      </c>
      <c r="J31" s="172">
        <f t="shared" si="2"/>
        <v>0</v>
      </c>
    </row>
    <row r="32" spans="1:10" x14ac:dyDescent="0.2">
      <c r="A32" s="107"/>
      <c r="B32" s="109" t="s">
        <v>23</v>
      </c>
      <c r="C32" s="110" t="s">
        <v>20</v>
      </c>
      <c r="D32" s="277"/>
      <c r="E32" s="2">
        <v>0</v>
      </c>
      <c r="F32" s="2">
        <f>ROUND(E32*(1+$J$9), 0)</f>
        <v>0</v>
      </c>
      <c r="G32" s="2">
        <f>ROUND(F32*(1+$J$9), 0)</f>
        <v>0</v>
      </c>
      <c r="H32" s="2">
        <f>ROUND(G32*(1+$J$9), 0)</f>
        <v>0</v>
      </c>
      <c r="I32" s="2">
        <f>ROUND(H32*(1+$J$9), 0)</f>
        <v>0</v>
      </c>
      <c r="J32" s="24">
        <f t="shared" si="2"/>
        <v>0</v>
      </c>
    </row>
    <row r="33" spans="1:10" x14ac:dyDescent="0.2">
      <c r="A33" s="107"/>
      <c r="B33" s="275"/>
      <c r="C33" s="182" t="s">
        <v>21</v>
      </c>
      <c r="D33" s="144">
        <f>$J$4</f>
        <v>0.40889999999999999</v>
      </c>
      <c r="E33" s="171">
        <f>ROUND(E32*$D33,0)</f>
        <v>0</v>
      </c>
      <c r="F33" s="171">
        <f>ROUND(F32*$D33,0)</f>
        <v>0</v>
      </c>
      <c r="G33" s="171">
        <f>ROUND(G32*$D33,0)</f>
        <v>0</v>
      </c>
      <c r="H33" s="171">
        <f>ROUND(H32*$D33,0)</f>
        <v>0</v>
      </c>
      <c r="I33" s="171">
        <f>ROUND(I32*$D33,0)</f>
        <v>0</v>
      </c>
      <c r="J33" s="172">
        <f t="shared" si="2"/>
        <v>0</v>
      </c>
    </row>
    <row r="34" spans="1:10" x14ac:dyDescent="0.2">
      <c r="A34" s="107"/>
      <c r="B34" s="142" t="s">
        <v>109</v>
      </c>
      <c r="C34" s="110" t="s">
        <v>20</v>
      </c>
      <c r="D34" s="277"/>
      <c r="E34" s="2">
        <v>0</v>
      </c>
      <c r="F34" s="2">
        <f>ROUND(E34*(1+$J$9), 0)</f>
        <v>0</v>
      </c>
      <c r="G34" s="2">
        <f>ROUND(F34*(1+$J$9), 0)</f>
        <v>0</v>
      </c>
      <c r="H34" s="2">
        <f>ROUND(G34*(1+$J$9), 0)</f>
        <v>0</v>
      </c>
      <c r="I34" s="2">
        <f>ROUND(H34*(1+$J$9), 0)</f>
        <v>0</v>
      </c>
      <c r="J34" s="24">
        <f t="shared" si="2"/>
        <v>0</v>
      </c>
    </row>
    <row r="35" spans="1:10" x14ac:dyDescent="0.2">
      <c r="A35" s="107"/>
      <c r="B35" s="274" t="s">
        <v>165</v>
      </c>
      <c r="C35" s="182" t="s">
        <v>21</v>
      </c>
      <c r="D35" s="144">
        <f>$J$5</f>
        <v>8.5500000000000007E-2</v>
      </c>
      <c r="E35" s="171">
        <f>ROUND(E34*$D35,0)</f>
        <v>0</v>
      </c>
      <c r="F35" s="171">
        <f>ROUND(F34*$D35,0)</f>
        <v>0</v>
      </c>
      <c r="G35" s="171">
        <f>ROUND(G34*$D35,0)</f>
        <v>0</v>
      </c>
      <c r="H35" s="171">
        <f>ROUND(H34*$D35,0)</f>
        <v>0</v>
      </c>
      <c r="I35" s="171">
        <f>ROUND(I34*$D35,0)</f>
        <v>0</v>
      </c>
      <c r="J35" s="172">
        <f t="shared" si="2"/>
        <v>0</v>
      </c>
    </row>
    <row r="36" spans="1:10" x14ac:dyDescent="0.2">
      <c r="A36" s="107"/>
      <c r="B36" s="142" t="s">
        <v>109</v>
      </c>
      <c r="C36" s="110" t="s">
        <v>20</v>
      </c>
      <c r="D36" s="277"/>
      <c r="E36" s="2">
        <v>0</v>
      </c>
      <c r="F36" s="2">
        <f>ROUND(E36*(1+$J$9), 0)</f>
        <v>0</v>
      </c>
      <c r="G36" s="2">
        <f>ROUND(F36*(1+$J$9), 0)</f>
        <v>0</v>
      </c>
      <c r="H36" s="2">
        <f>ROUND(G36*(1+$J$9), 0)</f>
        <v>0</v>
      </c>
      <c r="I36" s="2">
        <f>ROUND(H36*(1+$J$9), 0)</f>
        <v>0</v>
      </c>
      <c r="J36" s="24">
        <f>SUM(E36:I36)</f>
        <v>0</v>
      </c>
    </row>
    <row r="37" spans="1:10" x14ac:dyDescent="0.2">
      <c r="A37" s="107"/>
      <c r="B37" s="274" t="s">
        <v>166</v>
      </c>
      <c r="C37" s="182" t="s">
        <v>21</v>
      </c>
      <c r="D37" s="144">
        <f>$J$6</f>
        <v>0.16200000000000001</v>
      </c>
      <c r="E37" s="171">
        <f>ROUND(E36*$D37,0)</f>
        <v>0</v>
      </c>
      <c r="F37" s="171">
        <f>ROUND(F36*$D37,0)</f>
        <v>0</v>
      </c>
      <c r="G37" s="171">
        <f>ROUND(G36*$D37,0)</f>
        <v>0</v>
      </c>
      <c r="H37" s="171">
        <f>ROUND(H36*$D37,0)</f>
        <v>0</v>
      </c>
      <c r="I37" s="171">
        <f>ROUND(I36*$D37,0)</f>
        <v>0</v>
      </c>
      <c r="J37" s="172">
        <f>SUM(E37:I37)</f>
        <v>0</v>
      </c>
    </row>
    <row r="38" spans="1:10" x14ac:dyDescent="0.2">
      <c r="A38" s="107"/>
      <c r="B38" s="109" t="s">
        <v>24</v>
      </c>
      <c r="C38" s="110" t="s">
        <v>20</v>
      </c>
      <c r="D38" s="277"/>
      <c r="E38" s="2">
        <v>0</v>
      </c>
      <c r="F38" s="2">
        <f>ROUND(E38*(1+$J$9), 0)</f>
        <v>0</v>
      </c>
      <c r="G38" s="2">
        <f>ROUND(F38*(1+$J$9), 0)</f>
        <v>0</v>
      </c>
      <c r="H38" s="2">
        <f>ROUND(G38*(1+$J$9), 0)</f>
        <v>0</v>
      </c>
      <c r="I38" s="2">
        <f>ROUND(H38*(1+$J$9), 0)</f>
        <v>0</v>
      </c>
      <c r="J38" s="24">
        <f t="shared" si="2"/>
        <v>0</v>
      </c>
    </row>
    <row r="39" spans="1:10" x14ac:dyDescent="0.2">
      <c r="A39" s="107"/>
      <c r="B39" s="274" t="s">
        <v>165</v>
      </c>
      <c r="C39" s="182" t="s">
        <v>21</v>
      </c>
      <c r="D39" s="144">
        <f>$J$7</f>
        <v>1E-4</v>
      </c>
      <c r="E39" s="171">
        <f>ROUND(E38*$D39,0)</f>
        <v>0</v>
      </c>
      <c r="F39" s="171">
        <f>ROUND(F38*$D39,0)</f>
        <v>0</v>
      </c>
      <c r="G39" s="171">
        <f>ROUND(G38*$D39,0)</f>
        <v>0</v>
      </c>
      <c r="H39" s="171">
        <f>ROUND(H38*$D39,0)</f>
        <v>0</v>
      </c>
      <c r="I39" s="171">
        <f>ROUND(I38*$D39,0)</f>
        <v>0</v>
      </c>
      <c r="J39" s="172">
        <f t="shared" si="2"/>
        <v>0</v>
      </c>
    </row>
    <row r="40" spans="1:10" x14ac:dyDescent="0.2">
      <c r="A40" s="107"/>
      <c r="B40" s="109" t="s">
        <v>24</v>
      </c>
      <c r="C40" s="110" t="s">
        <v>20</v>
      </c>
      <c r="D40" s="277"/>
      <c r="E40" s="2">
        <v>0</v>
      </c>
      <c r="F40" s="2">
        <f>ROUND(E40*(1+$J$9), 0)</f>
        <v>0</v>
      </c>
      <c r="G40" s="2">
        <f>ROUND(F40*(1+$J$9), 0)</f>
        <v>0</v>
      </c>
      <c r="H40" s="2">
        <f>ROUND(G40*(1+$J$9), 0)</f>
        <v>0</v>
      </c>
      <c r="I40" s="2">
        <f>ROUND(H40*(1+$J$9), 0)</f>
        <v>0</v>
      </c>
      <c r="J40" s="24">
        <f>SUM(E40:I40)</f>
        <v>0</v>
      </c>
    </row>
    <row r="41" spans="1:10" x14ac:dyDescent="0.2">
      <c r="A41" s="107"/>
      <c r="B41" s="274" t="s">
        <v>166</v>
      </c>
      <c r="C41" s="182" t="s">
        <v>21</v>
      </c>
      <c r="D41" s="144">
        <f>$J$8</f>
        <v>7.6600000000000001E-2</v>
      </c>
      <c r="E41" s="171">
        <f>ROUND(E40*$D41,0)</f>
        <v>0</v>
      </c>
      <c r="F41" s="171">
        <f>ROUND(F40*$D41,0)</f>
        <v>0</v>
      </c>
      <c r="G41" s="171">
        <f>ROUND(G40*$D41,0)</f>
        <v>0</v>
      </c>
      <c r="H41" s="171">
        <f>ROUND(H40*$D41,0)</f>
        <v>0</v>
      </c>
      <c r="I41" s="171">
        <f>ROUND(I40*$D41,0)</f>
        <v>0</v>
      </c>
      <c r="J41" s="172">
        <f>SUM(E41:I41)</f>
        <v>0</v>
      </c>
    </row>
    <row r="42" spans="1:10" x14ac:dyDescent="0.2">
      <c r="A42" s="107"/>
      <c r="B42" s="142" t="s">
        <v>68</v>
      </c>
      <c r="C42" s="110" t="s">
        <v>20</v>
      </c>
      <c r="D42" s="277"/>
      <c r="E42" s="2">
        <v>0</v>
      </c>
      <c r="F42" s="2">
        <f>ROUND(E42*(1+$J$9), 0)</f>
        <v>0</v>
      </c>
      <c r="G42" s="2">
        <f>ROUND(F42*(1+$J$9), 0)</f>
        <v>0</v>
      </c>
      <c r="H42" s="2">
        <f>ROUND(G42*(1+$J$9), 0)</f>
        <v>0</v>
      </c>
      <c r="I42" s="2">
        <f>ROUND(H42*(1+$J$9), 0)</f>
        <v>0</v>
      </c>
      <c r="J42" s="24">
        <f t="shared" si="2"/>
        <v>0</v>
      </c>
    </row>
    <row r="43" spans="1:10" x14ac:dyDescent="0.2">
      <c r="A43" s="107"/>
      <c r="B43" s="275"/>
      <c r="C43" s="182" t="s">
        <v>21</v>
      </c>
      <c r="D43" s="144">
        <f>$J$4</f>
        <v>0.40889999999999999</v>
      </c>
      <c r="E43" s="171">
        <f>ROUND(E42*$D43,0)</f>
        <v>0</v>
      </c>
      <c r="F43" s="171">
        <f>ROUND(F42*$D43,0)</f>
        <v>0</v>
      </c>
      <c r="G43" s="171">
        <f>ROUND(G42*$D43,0)</f>
        <v>0</v>
      </c>
      <c r="H43" s="171">
        <f>ROUND(H42*$D43,0)</f>
        <v>0</v>
      </c>
      <c r="I43" s="171">
        <f>ROUND(I42*$D43,0)</f>
        <v>0</v>
      </c>
      <c r="J43" s="172">
        <f t="shared" si="2"/>
        <v>0</v>
      </c>
    </row>
    <row r="44" spans="1:10" x14ac:dyDescent="0.2">
      <c r="A44" s="107"/>
      <c r="B44" s="109" t="s">
        <v>25</v>
      </c>
      <c r="C44" s="110" t="s">
        <v>20</v>
      </c>
      <c r="D44" s="277"/>
      <c r="E44" s="2">
        <v>0</v>
      </c>
      <c r="F44" s="2">
        <f>ROUND(E44*(1+$J$9), 0)</f>
        <v>0</v>
      </c>
      <c r="G44" s="2">
        <f>ROUND(F44*(1+$J$9), 0)</f>
        <v>0</v>
      </c>
      <c r="H44" s="2">
        <f>ROUND(G44*(1+$J$9), 0)</f>
        <v>0</v>
      </c>
      <c r="I44" s="2">
        <f>ROUND(H44*(1+$J$9), 0)</f>
        <v>0</v>
      </c>
      <c r="J44" s="24">
        <f t="shared" si="2"/>
        <v>0</v>
      </c>
    </row>
    <row r="45" spans="1:10" x14ac:dyDescent="0.2">
      <c r="A45" s="107"/>
      <c r="B45" s="275"/>
      <c r="C45" s="182" t="s">
        <v>21</v>
      </c>
      <c r="D45" s="144">
        <f>$J$8</f>
        <v>7.6600000000000001E-2</v>
      </c>
      <c r="E45" s="171">
        <f>ROUND(E44*$D45,0)</f>
        <v>0</v>
      </c>
      <c r="F45" s="171">
        <f>ROUND(F44*$D45,0)</f>
        <v>0</v>
      </c>
      <c r="G45" s="171">
        <f>ROUND(G44*$D45,0)</f>
        <v>0</v>
      </c>
      <c r="H45" s="171">
        <f>ROUND(H44*$D45,0)</f>
        <v>0</v>
      </c>
      <c r="I45" s="171">
        <f>ROUND(I44*$D45,0)</f>
        <v>0</v>
      </c>
      <c r="J45" s="172">
        <f t="shared" si="2"/>
        <v>0</v>
      </c>
    </row>
    <row r="46" spans="1:10" ht="4.5" customHeight="1" x14ac:dyDescent="0.2">
      <c r="A46" s="107"/>
      <c r="B46" s="263"/>
      <c r="C46" s="182"/>
      <c r="D46" s="258"/>
      <c r="E46" s="259"/>
      <c r="F46" s="259"/>
      <c r="G46" s="259"/>
      <c r="H46" s="259"/>
      <c r="I46" s="259"/>
      <c r="J46" s="261"/>
    </row>
    <row r="47" spans="1:10" x14ac:dyDescent="0.2">
      <c r="A47" s="107"/>
      <c r="B47" s="204" t="s">
        <v>91</v>
      </c>
      <c r="C47" s="114" t="s">
        <v>20</v>
      </c>
      <c r="D47" s="112"/>
      <c r="E47" s="13">
        <f t="shared" ref="E47:I48" si="3">SUMIF($C$30:$C$46,$C47,E$30:E$46)</f>
        <v>0</v>
      </c>
      <c r="F47" s="13">
        <f t="shared" si="3"/>
        <v>0</v>
      </c>
      <c r="G47" s="13">
        <f t="shared" si="3"/>
        <v>0</v>
      </c>
      <c r="H47" s="13">
        <f t="shared" si="3"/>
        <v>0</v>
      </c>
      <c r="I47" s="13">
        <f t="shared" si="3"/>
        <v>0</v>
      </c>
      <c r="J47" s="24">
        <f t="shared" si="2"/>
        <v>0</v>
      </c>
    </row>
    <row r="48" spans="1:10" x14ac:dyDescent="0.2">
      <c r="A48" s="107"/>
      <c r="B48" s="109"/>
      <c r="C48" s="116" t="s">
        <v>21</v>
      </c>
      <c r="D48" s="251"/>
      <c r="E48" s="235">
        <f t="shared" si="3"/>
        <v>0</v>
      </c>
      <c r="F48" s="235">
        <f t="shared" si="3"/>
        <v>0</v>
      </c>
      <c r="G48" s="235">
        <f t="shared" si="3"/>
        <v>0</v>
      </c>
      <c r="H48" s="235">
        <f t="shared" si="3"/>
        <v>0</v>
      </c>
      <c r="I48" s="235">
        <f t="shared" si="3"/>
        <v>0</v>
      </c>
      <c r="J48" s="199">
        <f t="shared" si="2"/>
        <v>0</v>
      </c>
    </row>
    <row r="49" spans="1:10" x14ac:dyDescent="0.2">
      <c r="A49" s="107"/>
      <c r="C49" s="114" t="s">
        <v>0</v>
      </c>
      <c r="D49" s="111"/>
      <c r="E49" s="40">
        <f>SUM(E47:E48)</f>
        <v>0</v>
      </c>
      <c r="F49" s="40">
        <f>SUM(F47:F48)</f>
        <v>0</v>
      </c>
      <c r="G49" s="40">
        <f>SUM(G47:G48)</f>
        <v>0</v>
      </c>
      <c r="H49" s="40">
        <f>SUM(H47:H48)</f>
        <v>0</v>
      </c>
      <c r="I49" s="40">
        <f>SUM(I47:I48)</f>
        <v>0</v>
      </c>
      <c r="J49" s="36">
        <f t="shared" si="2"/>
        <v>0</v>
      </c>
    </row>
    <row r="50" spans="1:10" ht="4.5" customHeight="1" x14ac:dyDescent="0.2">
      <c r="A50" s="107"/>
      <c r="C50" s="111"/>
      <c r="D50" s="111"/>
      <c r="E50" s="40"/>
      <c r="F50" s="40"/>
      <c r="G50" s="40"/>
      <c r="H50" s="40"/>
      <c r="I50" s="40"/>
      <c r="J50" s="36"/>
    </row>
    <row r="51" spans="1:10" x14ac:dyDescent="0.2">
      <c r="A51" s="107"/>
      <c r="B51" s="103"/>
      <c r="C51" s="114" t="s">
        <v>20</v>
      </c>
      <c r="D51" s="111"/>
      <c r="E51" s="13">
        <f t="shared" ref="E51:I52" si="4">E26+E47</f>
        <v>0</v>
      </c>
      <c r="F51" s="13">
        <f t="shared" si="4"/>
        <v>0</v>
      </c>
      <c r="G51" s="13">
        <f t="shared" si="4"/>
        <v>0</v>
      </c>
      <c r="H51" s="13">
        <f t="shared" si="4"/>
        <v>0</v>
      </c>
      <c r="I51" s="13">
        <f t="shared" si="4"/>
        <v>0</v>
      </c>
      <c r="J51" s="24">
        <f t="shared" si="2"/>
        <v>0</v>
      </c>
    </row>
    <row r="52" spans="1:10" x14ac:dyDescent="0.2">
      <c r="A52" s="20" t="s">
        <v>3</v>
      </c>
      <c r="B52" s="200" t="s">
        <v>88</v>
      </c>
      <c r="C52" s="116" t="s">
        <v>21</v>
      </c>
      <c r="D52" s="250"/>
      <c r="E52" s="248">
        <f t="shared" si="4"/>
        <v>0</v>
      </c>
      <c r="F52" s="248">
        <f t="shared" si="4"/>
        <v>0</v>
      </c>
      <c r="G52" s="248">
        <f t="shared" si="4"/>
        <v>0</v>
      </c>
      <c r="H52" s="248">
        <f t="shared" si="4"/>
        <v>0</v>
      </c>
      <c r="I52" s="248">
        <f t="shared" si="4"/>
        <v>0</v>
      </c>
      <c r="J52" s="247">
        <f t="shared" si="2"/>
        <v>0</v>
      </c>
    </row>
    <row r="53" spans="1:10" x14ac:dyDescent="0.2">
      <c r="A53" s="107"/>
      <c r="B53" s="113" t="s">
        <v>29</v>
      </c>
      <c r="C53" s="114" t="s">
        <v>0</v>
      </c>
      <c r="D53" s="111"/>
      <c r="E53" s="40">
        <f>SUM(E51:E52)</f>
        <v>0</v>
      </c>
      <c r="F53" s="40">
        <f>SUM(F51:F52)</f>
        <v>0</v>
      </c>
      <c r="G53" s="40">
        <f>SUM(G51:G52)</f>
        <v>0</v>
      </c>
      <c r="H53" s="40">
        <f>SUM(H51:H52)</f>
        <v>0</v>
      </c>
      <c r="I53" s="40">
        <f>SUM(I51:I52)</f>
        <v>0</v>
      </c>
      <c r="J53" s="36">
        <f t="shared" si="2"/>
        <v>0</v>
      </c>
    </row>
    <row r="54" spans="1:10" ht="4.5" customHeight="1" x14ac:dyDescent="0.2">
      <c r="A54" s="107"/>
      <c r="C54" s="111"/>
      <c r="D54" s="111"/>
      <c r="E54" s="13"/>
      <c r="F54" s="13"/>
      <c r="G54" s="13"/>
      <c r="H54" s="13"/>
      <c r="I54" s="13"/>
      <c r="J54" s="24"/>
    </row>
    <row r="55" spans="1:10" x14ac:dyDescent="0.2">
      <c r="A55" s="20" t="s">
        <v>4</v>
      </c>
      <c r="B55" s="162" t="s">
        <v>97</v>
      </c>
      <c r="D55" s="111"/>
      <c r="E55" s="6">
        <v>0</v>
      </c>
      <c r="F55" s="6">
        <v>0</v>
      </c>
      <c r="G55" s="6">
        <v>0</v>
      </c>
      <c r="H55" s="6">
        <v>0</v>
      </c>
      <c r="I55" s="6">
        <v>0</v>
      </c>
      <c r="J55" s="24">
        <f t="shared" ref="J55:J66" si="5">SUM(E55:I55)</f>
        <v>0</v>
      </c>
    </row>
    <row r="56" spans="1:10" ht="4.5" customHeight="1" x14ac:dyDescent="0.2">
      <c r="A56" s="107"/>
      <c r="C56" s="111"/>
      <c r="D56" s="111"/>
      <c r="E56" s="118"/>
      <c r="F56" s="118"/>
      <c r="G56" s="118"/>
      <c r="H56" s="118"/>
      <c r="I56" s="118"/>
      <c r="J56" s="24"/>
    </row>
    <row r="57" spans="1:10" x14ac:dyDescent="0.2">
      <c r="A57" s="107" t="s">
        <v>5</v>
      </c>
      <c r="B57" s="23" t="s">
        <v>93</v>
      </c>
      <c r="D57" s="111"/>
      <c r="E57" s="2">
        <v>0</v>
      </c>
      <c r="F57" s="2">
        <f t="shared" ref="F57:I58" si="6">ROUND(E57*(1+$J$10),0)</f>
        <v>0</v>
      </c>
      <c r="G57" s="2">
        <f t="shared" si="6"/>
        <v>0</v>
      </c>
      <c r="H57" s="2">
        <f t="shared" si="6"/>
        <v>0</v>
      </c>
      <c r="I57" s="2">
        <f t="shared" si="6"/>
        <v>0</v>
      </c>
      <c r="J57" s="24">
        <f t="shared" si="5"/>
        <v>0</v>
      </c>
    </row>
    <row r="58" spans="1:10" x14ac:dyDescent="0.2">
      <c r="A58" s="107"/>
      <c r="B58" s="23" t="s">
        <v>94</v>
      </c>
      <c r="D58" s="111"/>
      <c r="E58" s="2">
        <v>0</v>
      </c>
      <c r="F58" s="2">
        <f t="shared" si="6"/>
        <v>0</v>
      </c>
      <c r="G58" s="2">
        <f t="shared" si="6"/>
        <v>0</v>
      </c>
      <c r="H58" s="2">
        <f t="shared" si="6"/>
        <v>0</v>
      </c>
      <c r="I58" s="2">
        <f t="shared" si="6"/>
        <v>0</v>
      </c>
      <c r="J58" s="24">
        <f t="shared" si="5"/>
        <v>0</v>
      </c>
    </row>
    <row r="59" spans="1:10" ht="4.5" customHeight="1" x14ac:dyDescent="0.2">
      <c r="A59" s="107"/>
      <c r="C59" s="111"/>
      <c r="D59" s="111"/>
      <c r="E59" s="13"/>
      <c r="F59" s="13"/>
      <c r="G59" s="13"/>
      <c r="H59" s="13"/>
      <c r="I59" s="13"/>
      <c r="J59" s="24"/>
    </row>
    <row r="60" spans="1:10" x14ac:dyDescent="0.2">
      <c r="A60" s="20" t="s">
        <v>36</v>
      </c>
      <c r="B60" s="161" t="s">
        <v>30</v>
      </c>
      <c r="C60" s="111"/>
      <c r="D60" s="111"/>
      <c r="E60" s="4">
        <v>0</v>
      </c>
      <c r="F60" s="4">
        <f>E60</f>
        <v>0</v>
      </c>
      <c r="G60" s="4">
        <f>F60</f>
        <v>0</v>
      </c>
      <c r="H60" s="4">
        <f>G60</f>
        <v>0</v>
      </c>
      <c r="I60" s="4">
        <f>H60</f>
        <v>0</v>
      </c>
      <c r="J60" s="24">
        <f t="shared" si="5"/>
        <v>0</v>
      </c>
    </row>
    <row r="61" spans="1:10" ht="4.5" customHeight="1" x14ac:dyDescent="0.2">
      <c r="A61" s="107"/>
      <c r="C61" s="111"/>
      <c r="D61" s="111"/>
      <c r="E61" s="13"/>
      <c r="F61" s="13"/>
      <c r="G61" s="13"/>
      <c r="H61" s="13"/>
      <c r="I61" s="13"/>
      <c r="J61" s="24"/>
    </row>
    <row r="62" spans="1:10" x14ac:dyDescent="0.2">
      <c r="A62" s="107" t="s">
        <v>37</v>
      </c>
      <c r="B62" s="117" t="s">
        <v>85</v>
      </c>
      <c r="C62" s="111"/>
      <c r="D62" s="111"/>
      <c r="E62" s="103"/>
      <c r="F62" s="103"/>
      <c r="G62" s="103"/>
      <c r="H62" s="103"/>
      <c r="I62" s="103"/>
      <c r="J62" s="245"/>
    </row>
    <row r="63" spans="1:10" x14ac:dyDescent="0.2">
      <c r="A63" s="107"/>
      <c r="B63" s="23" t="s">
        <v>12</v>
      </c>
      <c r="C63" s="111"/>
      <c r="D63" s="111"/>
      <c r="E63" s="2">
        <v>0</v>
      </c>
      <c r="F63" s="2">
        <f>ROUND(E63*(1+$J$10),0)</f>
        <v>0</v>
      </c>
      <c r="G63" s="2">
        <f>ROUND(F63*(1+$J$10),0)</f>
        <v>0</v>
      </c>
      <c r="H63" s="2">
        <f>ROUND(G63*(1+$J$10),0)</f>
        <v>0</v>
      </c>
      <c r="I63" s="2">
        <f>ROUND(H63*(1+$J$10),0)</f>
        <v>0</v>
      </c>
      <c r="J63" s="24">
        <f>SUM(E63:I63)</f>
        <v>0</v>
      </c>
    </row>
    <row r="64" spans="1:10" x14ac:dyDescent="0.2">
      <c r="A64" s="107"/>
      <c r="B64" s="23" t="s">
        <v>103</v>
      </c>
      <c r="C64" s="111"/>
      <c r="D64" s="111"/>
      <c r="E64" s="2">
        <v>0</v>
      </c>
      <c r="F64" s="2">
        <f t="shared" ref="F64:I66" si="7">ROUND(E64*(1+$J$10),0)</f>
        <v>0</v>
      </c>
      <c r="G64" s="2">
        <f t="shared" si="7"/>
        <v>0</v>
      </c>
      <c r="H64" s="2">
        <f t="shared" si="7"/>
        <v>0</v>
      </c>
      <c r="I64" s="2">
        <f t="shared" si="7"/>
        <v>0</v>
      </c>
      <c r="J64" s="24">
        <f t="shared" si="5"/>
        <v>0</v>
      </c>
    </row>
    <row r="65" spans="1:10" x14ac:dyDescent="0.2">
      <c r="A65" s="107"/>
      <c r="B65" s="23" t="s">
        <v>102</v>
      </c>
      <c r="C65" s="111"/>
      <c r="D65" s="111"/>
      <c r="E65" s="2">
        <v>0</v>
      </c>
      <c r="F65" s="2">
        <f t="shared" si="7"/>
        <v>0</v>
      </c>
      <c r="G65" s="2">
        <f t="shared" si="7"/>
        <v>0</v>
      </c>
      <c r="H65" s="2">
        <f t="shared" si="7"/>
        <v>0</v>
      </c>
      <c r="I65" s="2">
        <f t="shared" si="7"/>
        <v>0</v>
      </c>
      <c r="J65" s="24">
        <f t="shared" si="5"/>
        <v>0</v>
      </c>
    </row>
    <row r="66" spans="1:10" x14ac:dyDescent="0.2">
      <c r="A66" s="107"/>
      <c r="B66" s="23" t="s">
        <v>82</v>
      </c>
      <c r="C66" s="111"/>
      <c r="D66" s="111"/>
      <c r="E66" s="2">
        <v>0</v>
      </c>
      <c r="F66" s="2">
        <f t="shared" si="7"/>
        <v>0</v>
      </c>
      <c r="G66" s="2">
        <f t="shared" si="7"/>
        <v>0</v>
      </c>
      <c r="H66" s="2">
        <f t="shared" si="7"/>
        <v>0</v>
      </c>
      <c r="I66" s="2">
        <f t="shared" si="7"/>
        <v>0</v>
      </c>
      <c r="J66" s="24">
        <f t="shared" si="5"/>
        <v>0</v>
      </c>
    </row>
    <row r="67" spans="1:10" x14ac:dyDescent="0.2">
      <c r="A67" s="107"/>
      <c r="B67" s="347" t="s">
        <v>175</v>
      </c>
      <c r="C67" s="23"/>
      <c r="D67" s="23"/>
      <c r="E67" s="4">
        <v>0</v>
      </c>
      <c r="F67" s="4">
        <f>E67*(1+$J$10)</f>
        <v>0</v>
      </c>
      <c r="G67" s="4">
        <f>F67*(1+$J$10)</f>
        <v>0</v>
      </c>
      <c r="H67" s="4">
        <f>G67*(1+$J$10)</f>
        <v>0</v>
      </c>
      <c r="I67" s="4">
        <f>H67*(1+$J$10)</f>
        <v>0</v>
      </c>
      <c r="J67" s="24">
        <f>SUM(E67:I67)</f>
        <v>0</v>
      </c>
    </row>
    <row r="68" spans="1:10" x14ac:dyDescent="0.2">
      <c r="A68" s="107"/>
      <c r="B68" s="23" t="s">
        <v>95</v>
      </c>
      <c r="C68" s="159">
        <v>1</v>
      </c>
      <c r="D68" s="23"/>
      <c r="E68" s="119">
        <v>0</v>
      </c>
      <c r="F68" s="2">
        <v>0</v>
      </c>
      <c r="G68" s="2">
        <v>0</v>
      </c>
      <c r="H68" s="2">
        <v>0</v>
      </c>
      <c r="I68" s="2">
        <v>0</v>
      </c>
      <c r="J68" s="24">
        <f>SUM(E68:I68)</f>
        <v>0</v>
      </c>
    </row>
    <row r="69" spans="1:10" x14ac:dyDescent="0.2">
      <c r="A69" s="107"/>
      <c r="B69" s="201" t="s">
        <v>186</v>
      </c>
      <c r="C69" s="23"/>
      <c r="D69" s="23"/>
      <c r="E69" s="6">
        <v>0</v>
      </c>
      <c r="F69" s="4">
        <v>0</v>
      </c>
      <c r="G69" s="4">
        <v>0</v>
      </c>
      <c r="H69" s="4">
        <v>0</v>
      </c>
      <c r="I69" s="4">
        <v>0</v>
      </c>
      <c r="J69" s="24">
        <f>SUM(E69:I69)</f>
        <v>0</v>
      </c>
    </row>
    <row r="70" spans="1:10" x14ac:dyDescent="0.2">
      <c r="A70" s="107"/>
      <c r="B70" s="23" t="s">
        <v>96</v>
      </c>
      <c r="C70" s="159">
        <v>2</v>
      </c>
      <c r="D70" s="23"/>
      <c r="E70" s="119">
        <v>0</v>
      </c>
      <c r="F70" s="2">
        <v>0</v>
      </c>
      <c r="G70" s="2">
        <v>0</v>
      </c>
      <c r="H70" s="2">
        <v>0</v>
      </c>
      <c r="I70" s="2">
        <v>0</v>
      </c>
      <c r="J70" s="24">
        <f>SUM(E70:I70)</f>
        <v>0</v>
      </c>
    </row>
    <row r="71" spans="1:10" x14ac:dyDescent="0.2">
      <c r="A71" s="107"/>
      <c r="B71" s="201" t="s">
        <v>186</v>
      </c>
      <c r="C71" s="23"/>
      <c r="D71" s="23"/>
      <c r="E71" s="6">
        <v>0</v>
      </c>
      <c r="F71" s="4">
        <v>0</v>
      </c>
      <c r="G71" s="4">
        <v>0</v>
      </c>
      <c r="H71" s="4">
        <v>0</v>
      </c>
      <c r="I71" s="4">
        <v>0</v>
      </c>
      <c r="J71" s="24">
        <f>SUM(E71:I71)</f>
        <v>0</v>
      </c>
    </row>
    <row r="72" spans="1:10" x14ac:dyDescent="0.2">
      <c r="A72" s="107"/>
      <c r="B72" s="111" t="s">
        <v>6</v>
      </c>
      <c r="C72" s="111"/>
      <c r="D72" s="111"/>
      <c r="E72" s="2"/>
      <c r="F72" s="119"/>
      <c r="G72" s="119"/>
      <c r="H72" s="119"/>
      <c r="I72" s="119"/>
      <c r="J72" s="24"/>
    </row>
    <row r="73" spans="1:10" x14ac:dyDescent="0.2">
      <c r="A73" s="107"/>
      <c r="B73" s="201" t="s">
        <v>83</v>
      </c>
      <c r="C73" s="111"/>
      <c r="D73" s="111"/>
      <c r="E73" s="4">
        <f>ROUND(SUMIF($B30:$B45,$B$34,E30:E45)*$J$3,0)</f>
        <v>0</v>
      </c>
      <c r="F73" s="4">
        <f>ROUND(SUMIF($B30:$B45,$B$34,F30:F45)*$J$3,0)</f>
        <v>0</v>
      </c>
      <c r="G73" s="4">
        <f>ROUND(SUMIF($B30:$B45,$B$34,G30:G45)*$J$3,0)</f>
        <v>0</v>
      </c>
      <c r="H73" s="4">
        <f>ROUND(SUMIF($B30:$B45,$B$34,H30:H45)*$J$3,0)</f>
        <v>0</v>
      </c>
      <c r="I73" s="4">
        <f>ROUND(SUMIF($B30:$B45,$B$34,I30:I45)*$J$3,0)</f>
        <v>0</v>
      </c>
      <c r="J73" s="24">
        <f>SUM(E73:I73)</f>
        <v>0</v>
      </c>
    </row>
    <row r="74" spans="1:10" x14ac:dyDescent="0.2">
      <c r="A74" s="107"/>
      <c r="B74" s="201" t="s">
        <v>101</v>
      </c>
      <c r="C74" s="23"/>
      <c r="D74" s="23"/>
      <c r="E74" s="119">
        <v>0</v>
      </c>
      <c r="F74" s="119">
        <v>0</v>
      </c>
      <c r="G74" s="119">
        <v>0</v>
      </c>
      <c r="H74" s="119">
        <v>0</v>
      </c>
      <c r="I74" s="119">
        <v>0</v>
      </c>
      <c r="J74" s="24">
        <f>SUM(E74:I74)</f>
        <v>0</v>
      </c>
    </row>
    <row r="75" spans="1:10" x14ac:dyDescent="0.2">
      <c r="A75" s="107"/>
      <c r="B75" s="201" t="s">
        <v>100</v>
      </c>
      <c r="C75" s="23"/>
      <c r="D75" s="23"/>
      <c r="E75" s="119">
        <v>0</v>
      </c>
      <c r="F75" s="2">
        <f>ROUND(E75*(1+$J$10),0)</f>
        <v>0</v>
      </c>
      <c r="G75" s="2">
        <f>ROUND(F75*(1+$J$10),0)</f>
        <v>0</v>
      </c>
      <c r="H75" s="2">
        <f>ROUND(G75*(1+$J$10),0)</f>
        <v>0</v>
      </c>
      <c r="I75" s="2">
        <f>ROUND(H75*(1+$J$10),0)</f>
        <v>0</v>
      </c>
      <c r="J75" s="24">
        <f>SUM(E75:I75)</f>
        <v>0</v>
      </c>
    </row>
    <row r="76" spans="1:10" x14ac:dyDescent="0.2">
      <c r="A76" s="107"/>
      <c r="B76" s="201" t="s">
        <v>112</v>
      </c>
      <c r="C76" s="23"/>
      <c r="D76" s="23"/>
      <c r="E76" s="119">
        <v>0</v>
      </c>
      <c r="F76" s="119">
        <v>0</v>
      </c>
      <c r="G76" s="119">
        <v>0</v>
      </c>
      <c r="H76" s="119">
        <v>0</v>
      </c>
      <c r="I76" s="119">
        <v>0</v>
      </c>
      <c r="J76" s="24">
        <f>SUM(E76:I76)</f>
        <v>0</v>
      </c>
    </row>
    <row r="77" spans="1:10" x14ac:dyDescent="0.2">
      <c r="A77" s="107"/>
      <c r="B77" s="201" t="s">
        <v>104</v>
      </c>
      <c r="C77" s="23"/>
      <c r="D77" s="23"/>
      <c r="E77" s="119">
        <v>0</v>
      </c>
      <c r="F77" s="119">
        <v>0</v>
      </c>
      <c r="G77" s="119">
        <v>0</v>
      </c>
      <c r="H77" s="119">
        <v>0</v>
      </c>
      <c r="I77" s="119">
        <v>0</v>
      </c>
      <c r="J77" s="24">
        <f t="shared" ref="J77:J82" si="8">SUM(E77:I77)</f>
        <v>0</v>
      </c>
    </row>
    <row r="78" spans="1:10" x14ac:dyDescent="0.2">
      <c r="A78" s="107"/>
      <c r="B78" s="209" t="s">
        <v>106</v>
      </c>
      <c r="C78" s="23"/>
      <c r="D78" s="23"/>
      <c r="E78" s="119">
        <v>0</v>
      </c>
      <c r="F78" s="119">
        <v>0</v>
      </c>
      <c r="G78" s="119">
        <v>0</v>
      </c>
      <c r="H78" s="119">
        <v>0</v>
      </c>
      <c r="I78" s="119">
        <v>0</v>
      </c>
      <c r="J78" s="24">
        <f t="shared" si="8"/>
        <v>0</v>
      </c>
    </row>
    <row r="79" spans="1:10" x14ac:dyDescent="0.2">
      <c r="A79" s="107"/>
      <c r="B79" s="201" t="s">
        <v>98</v>
      </c>
      <c r="C79" s="23"/>
      <c r="D79" s="23"/>
      <c r="E79" s="119">
        <v>0</v>
      </c>
      <c r="F79" s="119">
        <v>0</v>
      </c>
      <c r="G79" s="119">
        <v>0</v>
      </c>
      <c r="H79" s="119">
        <v>0</v>
      </c>
      <c r="I79" s="119">
        <v>0</v>
      </c>
      <c r="J79" s="24">
        <f t="shared" si="8"/>
        <v>0</v>
      </c>
    </row>
    <row r="80" spans="1:10" x14ac:dyDescent="0.2">
      <c r="A80" s="107"/>
      <c r="B80" s="201" t="s">
        <v>105</v>
      </c>
      <c r="C80" s="23"/>
      <c r="D80" s="23"/>
      <c r="E80" s="4">
        <v>0</v>
      </c>
      <c r="F80" s="4">
        <v>0</v>
      </c>
      <c r="G80" s="4">
        <v>0</v>
      </c>
      <c r="H80" s="4">
        <v>0</v>
      </c>
      <c r="I80" s="4">
        <v>0</v>
      </c>
      <c r="J80" s="24">
        <f t="shared" si="8"/>
        <v>0</v>
      </c>
    </row>
    <row r="81" spans="1:10" x14ac:dyDescent="0.2">
      <c r="A81" s="107"/>
      <c r="B81" s="201" t="s">
        <v>99</v>
      </c>
      <c r="C81" s="23"/>
      <c r="D81" s="23"/>
      <c r="E81" s="119">
        <v>0</v>
      </c>
      <c r="F81" s="119">
        <v>0</v>
      </c>
      <c r="G81" s="119">
        <v>0</v>
      </c>
      <c r="H81" s="119">
        <v>0</v>
      </c>
      <c r="I81" s="119">
        <v>0</v>
      </c>
      <c r="J81" s="24">
        <f t="shared" si="8"/>
        <v>0</v>
      </c>
    </row>
    <row r="82" spans="1:10" x14ac:dyDescent="0.2">
      <c r="A82" s="107"/>
      <c r="B82" s="201" t="s">
        <v>84</v>
      </c>
      <c r="C82" s="23"/>
      <c r="D82" s="23"/>
      <c r="E82" s="119">
        <v>0</v>
      </c>
      <c r="F82" s="119">
        <v>0</v>
      </c>
      <c r="G82" s="119">
        <v>0</v>
      </c>
      <c r="H82" s="119">
        <v>0</v>
      </c>
      <c r="I82" s="119">
        <v>0</v>
      </c>
      <c r="J82" s="24">
        <f t="shared" si="8"/>
        <v>0</v>
      </c>
    </row>
    <row r="83" spans="1:10" x14ac:dyDescent="0.2">
      <c r="A83" s="107"/>
      <c r="B83" s="203" t="s">
        <v>61</v>
      </c>
      <c r="C83" s="38"/>
      <c r="D83" s="38"/>
      <c r="E83" s="202">
        <v>0</v>
      </c>
      <c r="F83" s="215">
        <f>ROUND(E83*(1+$J$10),0)</f>
        <v>0</v>
      </c>
      <c r="G83" s="215">
        <f>ROUND(F83*(1+$J$10),0)</f>
        <v>0</v>
      </c>
      <c r="H83" s="215">
        <f>ROUND(G83*(1+$J$10),0)</f>
        <v>0</v>
      </c>
      <c r="I83" s="215">
        <f>ROUND(H83*(1+$J$10),0)</f>
        <v>0</v>
      </c>
      <c r="J83" s="30">
        <f>SUM(E83:I83)</f>
        <v>0</v>
      </c>
    </row>
    <row r="84" spans="1:10" x14ac:dyDescent="0.2">
      <c r="A84" s="107"/>
      <c r="B84" s="246" t="s">
        <v>111</v>
      </c>
      <c r="C84" s="23"/>
      <c r="D84" s="23"/>
      <c r="E84" s="241">
        <f>SUM(E73:E83)</f>
        <v>0</v>
      </c>
      <c r="F84" s="241">
        <f>SUM(F73:F83)</f>
        <v>0</v>
      </c>
      <c r="G84" s="241">
        <f>SUM(G73:G83)</f>
        <v>0</v>
      </c>
      <c r="H84" s="241">
        <f>SUM(H73:H83)</f>
        <v>0</v>
      </c>
      <c r="I84" s="241">
        <f>SUM(I73:I83)</f>
        <v>0</v>
      </c>
      <c r="J84" s="36">
        <f t="shared" ref="J84:J91" si="9">SUM(E84:I84)</f>
        <v>0</v>
      </c>
    </row>
    <row r="85" spans="1:10" x14ac:dyDescent="0.2">
      <c r="A85" s="107"/>
      <c r="B85" s="117" t="s">
        <v>13</v>
      </c>
      <c r="C85" s="111"/>
      <c r="D85" s="111"/>
      <c r="E85" s="40">
        <f>SUM(E63:E83)</f>
        <v>0</v>
      </c>
      <c r="F85" s="40">
        <f>SUM(F63:F83)</f>
        <v>0</v>
      </c>
      <c r="G85" s="40">
        <f>SUM(G63:G83)</f>
        <v>0</v>
      </c>
      <c r="H85" s="40">
        <f>SUM(H63:H83)</f>
        <v>0</v>
      </c>
      <c r="I85" s="40">
        <f>SUM(I63:I83)</f>
        <v>0</v>
      </c>
      <c r="J85" s="36">
        <f t="shared" si="9"/>
        <v>0</v>
      </c>
    </row>
    <row r="86" spans="1:10" ht="4.5" customHeight="1" x14ac:dyDescent="0.2">
      <c r="A86" s="107"/>
      <c r="C86" s="111"/>
      <c r="D86" s="111"/>
      <c r="E86" s="13"/>
      <c r="F86" s="13"/>
      <c r="G86" s="13"/>
      <c r="H86" s="13"/>
      <c r="I86" s="13"/>
      <c r="J86" s="24"/>
    </row>
    <row r="87" spans="1:10" x14ac:dyDescent="0.2">
      <c r="A87" s="107" t="s">
        <v>7</v>
      </c>
      <c r="B87" s="117" t="s">
        <v>8</v>
      </c>
      <c r="D87" s="111"/>
      <c r="E87" s="41">
        <f>E53+E55+E57+E58+E60+E85</f>
        <v>0</v>
      </c>
      <c r="F87" s="41">
        <f>F53+F55+F57+F58+F60+F85</f>
        <v>0</v>
      </c>
      <c r="G87" s="41">
        <f>G53+G55+G57+G58+G60+G85</f>
        <v>0</v>
      </c>
      <c r="H87" s="41">
        <f>H53+H55+H57+H58+H60+H85</f>
        <v>0</v>
      </c>
      <c r="I87" s="41">
        <f>I53+I55+I57+I58+I60+I85</f>
        <v>0</v>
      </c>
      <c r="J87" s="36">
        <f t="shared" si="9"/>
        <v>0</v>
      </c>
    </row>
    <row r="88" spans="1:10" x14ac:dyDescent="0.2">
      <c r="A88" s="107"/>
      <c r="B88" s="121" t="s">
        <v>66</v>
      </c>
      <c r="C88" s="262" t="str">
        <f>IF(OR(J87=0,C3="TBD"),"TBD",J88*$C$3)</f>
        <v>TBD</v>
      </c>
      <c r="D88" s="120"/>
      <c r="E88" s="122">
        <f>IF($D$3="",0,IF($D$3=$AC$4,E87-E55-E60-E78-SUMIF($B$63:$B$83,$B$69,E63:E83)-E73-E67,E87-E73))</f>
        <v>0</v>
      </c>
      <c r="F88" s="122">
        <f>IF($D$3="",0,IF($D$3=$AC$4,F87-F55-F60-F78-SUMIF($B$63:$B$83,$B$69,F63:F83)-F73-F67,F87-F73))</f>
        <v>0</v>
      </c>
      <c r="G88" s="122">
        <f>IF($D$3="",0,IF($D$3=$AC$4,G87-G55-G60-G78-SUMIF($B$63:$B$83,$B$69,G63:G83)-G73-G67,G87-G73))</f>
        <v>0</v>
      </c>
      <c r="H88" s="122">
        <f>IF($D$3="",0,IF($D$3=$AC$4,H87-H55-H60-H78-SUMIF($B$63:$B$83,$B$69,H63:H83)-H73-H67,H87-H73))</f>
        <v>0</v>
      </c>
      <c r="I88" s="122">
        <f>IF($D$3="",0,IF($D$3=$AC$4,I87-I55-I60-I78-SUMIF($B$63:$B$83,$B$69,I63:I83)-I73-I67,I87-I73))</f>
        <v>0</v>
      </c>
      <c r="J88" s="123">
        <f>SUM(E88:I88)</f>
        <v>0</v>
      </c>
    </row>
    <row r="89" spans="1:10" x14ac:dyDescent="0.2">
      <c r="A89" s="107"/>
      <c r="B89" s="121" t="s">
        <v>67</v>
      </c>
      <c r="C89" s="262" t="str">
        <f>IF(OR($J$87=0,$C$4=""),"TBD",IF($C$4=AD4,$J$89*AE4,IF($C$4=AD5,$J$89*AE5,IF($C$4=AD6,$J$89*AE6))))</f>
        <v>TBD</v>
      </c>
      <c r="D89" s="120"/>
      <c r="E89" s="122">
        <f>IF($C$4="",0,$E$87)</f>
        <v>0</v>
      </c>
      <c r="F89" s="122">
        <f>IF($C$4="",0,$F$87)</f>
        <v>0</v>
      </c>
      <c r="G89" s="122">
        <f>IF($C$4="",0,$G$87)</f>
        <v>0</v>
      </c>
      <c r="H89" s="122">
        <f>IF($C$4="",0,$H$87)</f>
        <v>0</v>
      </c>
      <c r="I89" s="122">
        <f>IF($C$4="",0,$I$87)</f>
        <v>0</v>
      </c>
      <c r="J89" s="123">
        <f t="shared" si="9"/>
        <v>0</v>
      </c>
    </row>
    <row r="90" spans="1:10" ht="4.5" customHeight="1" x14ac:dyDescent="0.2">
      <c r="A90" s="107"/>
      <c r="C90" s="120"/>
      <c r="D90" s="120"/>
      <c r="E90" s="44"/>
      <c r="F90" s="44"/>
      <c r="G90" s="44"/>
      <c r="H90" s="44"/>
      <c r="I90" s="44"/>
      <c r="J90" s="45"/>
    </row>
    <row r="91" spans="1:10" x14ac:dyDescent="0.2">
      <c r="A91" s="107" t="s">
        <v>89</v>
      </c>
      <c r="B91" s="117" t="s">
        <v>31</v>
      </c>
      <c r="D91" s="111"/>
      <c r="E91" s="39" t="str">
        <f>IF($C$3="TBD","TBD",IF($C$88&lt;$C$89,E88*$C$3,IF(AND($C$88&gt;$C$89,$C$4=$AD$4),E89*$AE$4,IF(AND($C$88&gt;$C$89,$C$4=$AD$5),E89*$AE$5,E89*$AE$6))))</f>
        <v>TBD</v>
      </c>
      <c r="F91" s="39" t="str">
        <f>IF($C$3="TBD","TBD",IF($C$88&lt;$C$89,F88*$C$3,IF(AND($C$88&gt;$C$89,$C$4=$AD$4),F89*$AE$4,IF(AND($C$88&gt;$C$89,$C$4=$AD$5),F89*$AE$5,F89*$AE$6))))</f>
        <v>TBD</v>
      </c>
      <c r="G91" s="39" t="str">
        <f>IF($C$3="TBD","TBD",IF($C$88&lt;$C$89,G88*$C$3,IF(AND($C$88&gt;$C$89,$C$4=$AD$4),G89*$AE$4,IF(AND($C$88&gt;$C$89,$C$4=$AD$5),G89*$AE$5,G89*$AE$6))))</f>
        <v>TBD</v>
      </c>
      <c r="H91" s="39" t="str">
        <f>IF($C$3="TBD","TBD",IF($C$88&lt;$C$89,H88*$C$3,IF(AND($C$88&gt;$C$89,$C$4=$AD$4),H89*$AE$4,IF(AND($C$88&gt;$C$89,$C$4=$AD$5),H89*$AE$5,H89*$AE$6))))</f>
        <v>TBD</v>
      </c>
      <c r="I91" s="39" t="str">
        <f>IF($C$3="TBD","TBD",IF($C$88&lt;$C$89,I88*$C$3,IF(AND($C$88&gt;$C$89,$C$4=$AD$4),I89*$AE$4,IF(AND($C$88&gt;$C$89,$C$4=$AD$5),I89*$AE$5,I89*$AE$6))))</f>
        <v>TBD</v>
      </c>
      <c r="J91" s="36">
        <f t="shared" si="9"/>
        <v>0</v>
      </c>
    </row>
    <row r="92" spans="1:10" ht="4.5" customHeight="1" x14ac:dyDescent="0.2">
      <c r="A92" s="107"/>
      <c r="C92" s="111"/>
      <c r="D92" s="111"/>
      <c r="E92" s="13"/>
      <c r="F92" s="13"/>
      <c r="G92" s="13"/>
      <c r="H92" s="13"/>
      <c r="I92" s="13"/>
      <c r="J92" s="24"/>
    </row>
    <row r="93" spans="1:10" ht="13.5" thickBot="1" x14ac:dyDescent="0.25">
      <c r="A93" s="124" t="s">
        <v>90</v>
      </c>
      <c r="B93" s="125" t="s">
        <v>32</v>
      </c>
      <c r="C93" s="126"/>
      <c r="D93" s="126"/>
      <c r="E93" s="49" t="str">
        <f>IF(E91="TBD","TBD",E91+E87)</f>
        <v>TBD</v>
      </c>
      <c r="F93" s="49" t="str">
        <f>IF(F91="TBD","TBD",F91+F87)</f>
        <v>TBD</v>
      </c>
      <c r="G93" s="49" t="str">
        <f>IF(G91="TBD","TBD",G91+G87)</f>
        <v>TBD</v>
      </c>
      <c r="H93" s="49" t="str">
        <f>IF(H91="TBD","TBD",H91+H87)</f>
        <v>TBD</v>
      </c>
      <c r="I93" s="49" t="str">
        <f>IF(I91="TBD","TBD",I91+I87)</f>
        <v>TBD</v>
      </c>
      <c r="J93" s="50">
        <f>SUM(E93:I93)</f>
        <v>0</v>
      </c>
    </row>
    <row r="94" spans="1:10" ht="4.5" customHeight="1" thickBot="1" x14ac:dyDescent="0.25">
      <c r="A94" s="103"/>
      <c r="B94" s="103"/>
      <c r="E94" s="103"/>
      <c r="F94" s="103"/>
      <c r="G94" s="103"/>
      <c r="H94" s="103"/>
      <c r="I94" s="103"/>
      <c r="J94" s="103"/>
    </row>
    <row r="95" spans="1:10" ht="12.75" customHeight="1" x14ac:dyDescent="0.2">
      <c r="A95" s="763" t="s">
        <v>55</v>
      </c>
      <c r="B95" s="127" t="s">
        <v>33</v>
      </c>
      <c r="C95" s="128"/>
      <c r="D95" s="127"/>
      <c r="E95" s="129">
        <f>IF(E93="TBD",0,IF(E87=0,0,E91/E93))</f>
        <v>0</v>
      </c>
      <c r="F95" s="129">
        <f>IF(F93="TBD",0,IF(F87=0,0,F91/F83))</f>
        <v>0</v>
      </c>
      <c r="G95" s="129">
        <f>IF(G93="TBD",0,IF(G87=0,0,G91/G93))</f>
        <v>0</v>
      </c>
      <c r="H95" s="129">
        <f>IF(H93="TBD",0,IF(H87=0,0,H91/H93))</f>
        <v>0</v>
      </c>
      <c r="I95" s="129">
        <f>IF(I93="TBD",0,IF(I87=0,0,I91/I93))</f>
        <v>0</v>
      </c>
      <c r="J95" s="58">
        <f>IF(J93="TBD",0,IF(J87=0,0,J91/J93))</f>
        <v>0</v>
      </c>
    </row>
    <row r="96" spans="1:10" ht="13.5" thickBot="1" x14ac:dyDescent="0.25">
      <c r="A96" s="764"/>
      <c r="B96" s="130" t="s">
        <v>40</v>
      </c>
      <c r="C96" s="131"/>
      <c r="D96" s="130"/>
      <c r="E96" s="139">
        <f t="shared" ref="E96:J96" si="10">IF($C$3=$J$1,0,ROUND($J$1*(E87-E55-E60-E67-SUMIF($B$63:$B$83,$B$69,E63:E83)-E73),0)-E91)</f>
        <v>0</v>
      </c>
      <c r="F96" s="139">
        <f t="shared" si="10"/>
        <v>0</v>
      </c>
      <c r="G96" s="139">
        <f t="shared" si="10"/>
        <v>0</v>
      </c>
      <c r="H96" s="139">
        <f t="shared" si="10"/>
        <v>0</v>
      </c>
      <c r="I96" s="139">
        <f t="shared" si="10"/>
        <v>0</v>
      </c>
      <c r="J96" s="138">
        <f t="shared" si="10"/>
        <v>0</v>
      </c>
    </row>
    <row r="97" spans="6:9" x14ac:dyDescent="0.2">
      <c r="F97" s="104"/>
      <c r="G97" s="104"/>
      <c r="H97" s="104"/>
      <c r="I97" s="104"/>
    </row>
    <row r="98" spans="6:9" x14ac:dyDescent="0.2">
      <c r="F98" s="104"/>
      <c r="G98" s="104"/>
      <c r="H98" s="104"/>
      <c r="I98" s="104"/>
    </row>
    <row r="161" spans="18:18" x14ac:dyDescent="0.2">
      <c r="R161" s="761"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62" spans="18:18" x14ac:dyDescent="0.2">
      <c r="R162" s="762"/>
    </row>
    <row r="163" spans="18:18" x14ac:dyDescent="0.2">
      <c r="R163" s="762"/>
    </row>
    <row r="164" spans="18:18" x14ac:dyDescent="0.2">
      <c r="R164" s="762"/>
    </row>
  </sheetData>
  <scenarios current="5" show="1" sqref="D54">
    <scenario name="On-camp instr" locked="1" count="2" user="Grants and Contracts" comment="Created by Grants and Contracts on 6/13/96_x000a_Modified by Grants and Contracts on 6/13/96">
      <inputCells r="J1" val="0.519" numFmtId="165"/>
      <inputCells r="J3" val="0.5" numFmtId="165"/>
    </scenario>
    <scenario name="On-camp res" locked="1" count="2" user="Grants and Contracts" comment="Created by Grants and Contracts on 6/13/96_x000a_Modified by Grants and Contracts on 6/13/96">
      <inputCells r="J1" val="0.555" numFmtId="165"/>
      <inputCells r="J3" val="0.345" numFmtId="165"/>
    </scenario>
    <scenario name="On-camp - other" locked="1" count="2" user="Grants and Contracts" comment="Created by Grants and Contracts on 6/13/96_x000a_Modified by Grants and Contracts on 6/13/96">
      <inputCells r="J1" val="0.237" numFmtId="165"/>
      <inputCells r="J3" val="0.513" numFmtId="165"/>
    </scenario>
    <scenario name="Off-camp instr" locked="1" count="2" user="Grants and Contracts" comment="Created by Grants and Contracts on 6/13/96">
      <inputCells r="J1" val="0.24" numFmtId="165"/>
      <inputCells r="J3" val="0.5" numFmtId="165"/>
    </scenario>
    <scenario name="Off-camp research" locked="1" count="2" user="Grants and Contracts" comment="Created by Grants and Contracts on 6/13/96">
      <inputCells r="J1" val="0.24" numFmtId="165"/>
      <inputCells r="J3" val="0.345" numFmtId="165"/>
    </scenario>
    <scenario name="Off-camp - other" locked="1" count="2" user="Grants and Contracts" comment="Created by Grants and Contracts on 6/13/96">
      <inputCells r="J1" val="0.187" numFmtId="165"/>
      <inputCells r="J3" val="0.513" numFmtId="165"/>
    </scenario>
  </scenarios>
  <mergeCells count="7">
    <mergeCell ref="A95:A96"/>
    <mergeCell ref="R161:R164"/>
    <mergeCell ref="C1:E1"/>
    <mergeCell ref="C2:E2"/>
    <mergeCell ref="A4:B4"/>
    <mergeCell ref="A5:B5"/>
    <mergeCell ref="A6:E10"/>
  </mergeCells>
  <conditionalFormatting sqref="B88:J88">
    <cfRule type="expression" dxfId="32" priority="3">
      <formula>$D$5="MTDC"</formula>
    </cfRule>
  </conditionalFormatting>
  <conditionalFormatting sqref="B89:J89">
    <cfRule type="expression" dxfId="31" priority="2">
      <formula>$D$5="TDC (TDC+)"</formula>
    </cfRule>
  </conditionalFormatting>
  <dataValidations count="26">
    <dataValidation allowBlank="1" showInputMessage="1" showErrorMessage="1" promptTitle="Internal Program Rate" prompt="May be deemed as prohibited voluntary cost share by NSF." sqref="B67" xr:uid="{7AE384DA-889F-4367-A434-B4F6D1FC691A}"/>
    <dataValidation allowBlank="1" showInputMessage="1" showErrorMessage="1" promptTitle="2 CFR 200.459" prompt="Professional Service Costs" sqref="B65" xr:uid="{00000000-0002-0000-0400-000001000000}"/>
    <dataValidation allowBlank="1" showInputMessage="1" showErrorMessage="1" promptTitle="2 CFR 200.461" prompt="Publication and printing costs" sqref="B64" xr:uid="{00000000-0002-0000-0400-000002000000}"/>
    <dataValidation allowBlank="1" showInputMessage="1" showErrorMessage="1" promptTitle="2 CFR 200.314" prompt="Supplies" sqref="B63" xr:uid="{00000000-0002-0000-0400-000003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0" xr:uid="{00000000-0002-0000-0400-000004000000}"/>
    <dataValidation allowBlank="1" showInputMessage="1" showErrorMessage="1" promptTitle="2 CFR 200.33" prompt="Tangible personal property having a useful life of more than one year and a per-unit acquisition cost which equals or exceeds $5,000." sqref="B55" xr:uid="{00000000-0002-0000-0400-000005000000}"/>
    <dataValidation allowBlank="1" showInputMessage="1" showErrorMessage="1" promptTitle="OBFS 15" prompt="Travel Reimbursement and Per Diem: https://www.obfs.uillinois.edu/bfpp/section-15-travel/travel-reimbursement-and-per-diem" sqref="B57:B58" xr:uid="{00000000-0002-0000-0400-000006000000}"/>
    <dataValidation allowBlank="1" showInputMessage="1" showErrorMessage="1" promptTitle="Minimum Salary" prompt="FY 2020 Campus Budget Guidelines: https://www.obfs.uillinois.edu/budgeting/urbana-champaign-campus/budget-guidelines/fy-2020" sqref="B30" xr:uid="{00000000-0002-0000-0400-000007000000}"/>
    <dataValidation allowBlank="1" showInputMessage="1" showErrorMessage="1" promptTitle="Graduate College-Assistantships" prompt="https://grad.illinois.edu/assistantships" sqref="B34 B36" xr:uid="{00000000-0002-0000-0400-000008000000}"/>
    <dataValidation allowBlank="1" showInputMessage="1" showErrorMessage="1" promptTitle="2 CFR 200.431" prompt="Compensation-fringe benefits" sqref="B52" xr:uid="{00000000-0002-0000-0400-000009000000}"/>
    <dataValidation allowBlank="1" showInputMessage="1" showErrorMessage="1" promptTitle="2 CFR 200.430" prompt="Compensation-personal services" sqref="B12 B29" xr:uid="{00000000-0002-0000-0400-00000A000000}"/>
    <dataValidation allowBlank="1" showInputMessage="1" showErrorMessage="1" promptTitle="2 CFR 200.92" prompt="With MTDC basis, the first $25,000 of each subaward is assessed F&amp;A costs. " sqref="E70 E68" xr:uid="{00000000-0002-0000-0400-00000B000000}"/>
    <dataValidation allowBlank="1" showInputMessage="1" showErrorMessage="1" promptTitle="2 CFR 200.92" prompt="Subaward" sqref="B70 B68" xr:uid="{00000000-0002-0000-0400-00000C000000}"/>
    <dataValidation allowBlank="1" showInputMessage="1" showErrorMessage="1" promptTitle="2 CFR 200.330" prompt="Criteria for subrecipient versus contractor determination" sqref="B69 B71" xr:uid="{00000000-0002-0000-0400-00000D000000}"/>
    <dataValidation allowBlank="1" showInputMessage="1" showErrorMessage="1" promptTitle="Service Activities" prompt="Description: https://www.obfs.uillinois.edu/government-costing/service-Activities/" sqref="B78" xr:uid="{00000000-0002-0000-0400-00000E000000}"/>
    <dataValidation allowBlank="1" showInputMessage="1" showErrorMessage="1" promptTitle="2 CFR 200.330(b)" prompt="Contractor (Vendor) Costs" sqref="B76" xr:uid="{00000000-0002-0000-0400-00000F000000}"/>
    <dataValidation allowBlank="1" showInputMessage="1" showErrorMessage="1" promptTitle="Additional Justification" prompt="Additional Justification is required." sqref="B42" xr:uid="{00000000-0002-0000-0400-000010000000}"/>
    <dataValidation type="list" allowBlank="1" showInputMessage="1" showErrorMessage="1" promptTitle="Do Not Edit" sqref="D3" xr:uid="{00000000-0002-0000-0400-000011000000}">
      <formula1>$AC$4</formula1>
    </dataValidation>
    <dataValidation type="list" allowBlank="1" showErrorMessage="1" promptTitle="Select USDA Cap" prompt="30% TDC+, 22% TDC+, or 15% TDC+ (TDC includes Tuition Remission)" sqref="C4" xr:uid="{00000000-0002-0000-0400-000012000000}">
      <formula1>$AD$6</formula1>
    </dataValidation>
    <dataValidation type="list" allowBlank="1" showInputMessage="1" showErrorMessage="1" promptTitle="Project Location" prompt="Select the Project Location." sqref="C2:E2" xr:uid="{00000000-0002-0000-0400-000013000000}">
      <formula1>$Z$3:$AA$3</formula1>
    </dataValidation>
    <dataValidation allowBlank="1" showInputMessage="1" showErrorMessage="1" promptTitle="Applicable F&amp;A Rate" prompt="This field will dislpayed after inputting Activity Type and Location" sqref="J1" xr:uid="{00000000-0002-0000-0400-000014000000}"/>
    <dataValidation allowBlank="1" showInputMessage="1" showErrorMessage="1" promptTitle="Note" prompt="MTDC or TDC will display based on the value selected in cell I3." sqref="B88:B89" xr:uid="{00000000-0002-0000-0400-000015000000}"/>
    <dataValidation allowBlank="1" showInputMessage="1" showErrorMessage="1" promptTitle="Do Not Edit" sqref="C3 E3" xr:uid="{00000000-0002-0000-0400-000017000000}"/>
    <dataValidation allowBlank="1" showInputMessage="1" showErrorMessage="1" promptTitle="Notes" prompt="Add notes as necessary." sqref="A4:A5" xr:uid="{00000000-0002-0000-0400-000018000000}"/>
    <dataValidation allowBlank="1" showInputMessage="1" showErrorMessage="1" promptTitle="Error Value" prompt="Select an Activity Type, Location, and F&amp;A Rate to Propose to in order to correct error." sqref="C5" xr:uid="{00000000-0002-0000-0400-000019000000}"/>
    <dataValidation type="list" allowBlank="1" showInputMessage="1" showErrorMessage="1" promptTitle="Project Activity Type" prompt="Select the Project Activity Type." sqref="C1:E1" xr:uid="{00000000-0002-0000-0400-000016000000}">
      <formula1>$Y$4:$Y$9</formula1>
    </dataValidation>
  </dataValidations>
  <hyperlinks>
    <hyperlink ref="B78" r:id="rId1" xr:uid="{00000000-0004-0000-0400-000000000000}"/>
  </hyperlinks>
  <printOptions horizontalCentered="1"/>
  <pageMargins left="0.25" right="0.25" top="0.75" bottom="0.75" header="0.3" footer="0.3"/>
  <pageSetup scale="32" fitToHeight="0" orientation="portrait" r:id="rId2"/>
  <headerFooter alignWithMargins="0">
    <oddHeader>&amp;L&amp;G&amp;C&amp;"Arial,Bold"&amp;12SPA Budget Template - FY27&amp;RPage &amp;P of &amp;N</oddHeader>
    <oddFooter>&amp;LSPA v.03042026&amp;RLast Updated: &amp;D</oddFoot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6C897-BA7F-4BE5-AD43-7FEF89E1F24C}">
  <sheetPr>
    <tabColor theme="4" tint="0.59999389629810485"/>
    <pageSetUpPr fitToPage="1"/>
  </sheetPr>
  <dimension ref="A1:BR181"/>
  <sheetViews>
    <sheetView showGridLines="0" zoomScale="115" zoomScaleNormal="115" workbookViewId="0">
      <pane ySplit="6" topLeftCell="A7" activePane="bottomLeft" state="frozen"/>
      <selection activeCell="D12" sqref="D12"/>
      <selection pane="bottomLeft" activeCell="AH6" sqref="AH6"/>
    </sheetView>
  </sheetViews>
  <sheetFormatPr defaultColWidth="9.140625" defaultRowHeight="12.75" x14ac:dyDescent="0.2"/>
  <cols>
    <col min="1" max="1" width="3.42578125" style="18" customWidth="1"/>
    <col min="2" max="2" width="18" style="292" customWidth="1"/>
    <col min="3" max="3" width="7" style="35" customWidth="1"/>
    <col min="4" max="4" width="7.85546875" style="35" customWidth="1"/>
    <col min="5" max="5" width="10.5703125" style="104" customWidth="1"/>
    <col min="6" max="9" width="10.5703125" style="14" customWidth="1"/>
    <col min="10" max="10" width="10.5703125" style="56" customWidth="1"/>
    <col min="11" max="16" width="10.5703125" customWidth="1"/>
    <col min="17" max="17" width="11" customWidth="1"/>
    <col min="18" max="18" width="15.7109375" customWidth="1"/>
    <col min="19" max="20" width="13.140625" customWidth="1"/>
    <col min="21" max="27" width="13.140625" hidden="1" customWidth="1"/>
    <col min="28" max="34" width="13.140625" customWidth="1"/>
    <col min="35" max="35" width="12" customWidth="1"/>
  </cols>
  <sheetData>
    <row r="1" spans="1:70" ht="12.6" customHeight="1" x14ac:dyDescent="0.2">
      <c r="A1" s="410" t="s">
        <v>18</v>
      </c>
      <c r="B1" s="411"/>
      <c r="C1" s="741"/>
      <c r="D1" s="741"/>
      <c r="E1" s="741"/>
      <c r="F1" s="412" t="s">
        <v>38</v>
      </c>
      <c r="G1" s="413"/>
      <c r="H1" s="441">
        <v>0.03</v>
      </c>
      <c r="I1" s="786" t="s">
        <v>107</v>
      </c>
      <c r="J1" s="787"/>
      <c r="K1" s="787"/>
      <c r="L1" s="787"/>
      <c r="M1" s="788"/>
      <c r="R1" s="660" t="s">
        <v>9</v>
      </c>
      <c r="S1" s="195"/>
      <c r="T1" s="168" t="str">
        <f>IF(AND($C$1=$AI$1,$C$2=$AN$1),$AJ$1,IF(AND($C$1=$AI$1,$C$2=$AO$1),$AK$1,IF(AND($C$1=$AI$2,$C$2=$AN$1),$AJ$2,IF(AND($C$1=$AI$2,$C$2=$AO$1),$AK$2,IF(AND($C$1=$AI$3,$C$2=$AN$1),$AJ$3,IF(AND($C$1=$AI$3,$C$2=$AO$1),$AK$3,IF($C$1=$AI$4,$AJ$4,IF($C$1=$AI$5,$AJ$5,IF(AND($C$1=$AI$6,$C$2=$AN$1),$AJ$1,IF(AND($C$1=$AI$6,$C$2=$AO$1),$AK$1,"TBD"))))))))))</f>
        <v>TBD</v>
      </c>
      <c r="U1" s="168"/>
      <c r="V1" s="168"/>
      <c r="W1" s="168"/>
      <c r="X1" s="168"/>
      <c r="Y1" s="168"/>
      <c r="Z1" s="168"/>
      <c r="AA1" s="168"/>
      <c r="AD1" s="660" t="s">
        <v>10</v>
      </c>
      <c r="AE1" s="152"/>
      <c r="AF1" s="152"/>
      <c r="AG1" s="168">
        <f>IF(C1="Other Sponsored Activity", 60%, 64%)</f>
        <v>0.64</v>
      </c>
      <c r="AH1" s="525">
        <v>0.42</v>
      </c>
      <c r="AI1" t="s">
        <v>59</v>
      </c>
      <c r="AJ1" s="16">
        <v>0.59499999999999997</v>
      </c>
      <c r="AK1" s="16">
        <v>0.26</v>
      </c>
      <c r="AL1" s="35" t="s">
        <v>45</v>
      </c>
      <c r="AM1" s="17" t="s">
        <v>27</v>
      </c>
      <c r="AN1" s="35" t="s">
        <v>14</v>
      </c>
      <c r="AO1" s="35" t="s">
        <v>15</v>
      </c>
      <c r="AP1" s="35"/>
      <c r="AQ1" s="35" t="s">
        <v>26</v>
      </c>
      <c r="AR1" s="35" t="s">
        <v>116</v>
      </c>
      <c r="AT1" t="s">
        <v>43</v>
      </c>
      <c r="AU1" t="s">
        <v>54</v>
      </c>
      <c r="AW1" s="19" t="s">
        <v>85</v>
      </c>
    </row>
    <row r="2" spans="1:70" ht="12.6" customHeight="1" x14ac:dyDescent="0.2">
      <c r="A2" s="412" t="s">
        <v>17</v>
      </c>
      <c r="B2" s="279"/>
      <c r="C2" s="741"/>
      <c r="D2" s="741"/>
      <c r="E2" s="741"/>
      <c r="F2" s="412" t="s">
        <v>39</v>
      </c>
      <c r="G2" s="413"/>
      <c r="H2" s="441">
        <v>0.04</v>
      </c>
      <c r="I2" s="789"/>
      <c r="J2" s="790"/>
      <c r="K2" s="790"/>
      <c r="L2" s="790"/>
      <c r="M2" s="791"/>
      <c r="R2" s="660" t="s">
        <v>65</v>
      </c>
      <c r="T2" s="168" t="str">
        <f>IF($C$1=$AI$1,$AM$1,IF($C$1=AI2,$AM$1,IF($C$1=AI3,$AM$1, IF($C$1=AI6,$AM$1,IF($C$1=$AI$4,$AM$2,IF($C$1=$AI$5,$AM$2,$AM$1))))))</f>
        <v>MTDC</v>
      </c>
      <c r="U2" s="168"/>
      <c r="V2" s="168"/>
      <c r="W2" s="168"/>
      <c r="X2" s="168"/>
      <c r="Y2" s="168"/>
      <c r="Z2" s="168"/>
      <c r="AA2" s="168"/>
      <c r="AD2" s="660" t="s">
        <v>11</v>
      </c>
      <c r="AE2" s="152"/>
      <c r="AF2" s="152"/>
      <c r="AG2" s="168">
        <v>0.40889999999999999</v>
      </c>
      <c r="AH2" s="525">
        <v>0.3453</v>
      </c>
      <c r="AI2" t="s">
        <v>60</v>
      </c>
      <c r="AJ2" s="16">
        <v>0.433</v>
      </c>
      <c r="AK2" s="16">
        <v>0.26</v>
      </c>
      <c r="AL2" s="526">
        <v>0.60329999999999995</v>
      </c>
      <c r="AM2" s="17" t="s">
        <v>28</v>
      </c>
      <c r="AN2" s="17"/>
      <c r="AO2" s="17"/>
      <c r="AP2" s="17"/>
      <c r="AR2" s="35" t="s">
        <v>124</v>
      </c>
      <c r="AT2" t="s">
        <v>45</v>
      </c>
      <c r="AU2" s="35" t="s">
        <v>53</v>
      </c>
      <c r="AW2" s="201" t="s">
        <v>101</v>
      </c>
      <c r="AX2" s="201" t="s">
        <v>100</v>
      </c>
      <c r="AY2" s="201" t="s">
        <v>118</v>
      </c>
      <c r="AZ2" s="201" t="s">
        <v>119</v>
      </c>
      <c r="BA2" s="201" t="s">
        <v>120</v>
      </c>
      <c r="BB2" s="201" t="s">
        <v>121</v>
      </c>
      <c r="BC2" s="201" t="s">
        <v>98</v>
      </c>
      <c r="BD2" s="201" t="s">
        <v>122</v>
      </c>
      <c r="BE2" s="201" t="s">
        <v>123</v>
      </c>
      <c r="BF2" s="201" t="s">
        <v>99</v>
      </c>
      <c r="BG2" s="201" t="s">
        <v>84</v>
      </c>
      <c r="BH2" s="201" t="s">
        <v>61</v>
      </c>
    </row>
    <row r="3" spans="1:70" ht="12.95" customHeight="1" x14ac:dyDescent="0.2">
      <c r="A3" s="412" t="str">
        <f>IF($C$7=$AT$1,"F&amp;A Rate for Sponsor",IF(OR($C$7=$AT$2,$C$7=$AT$3),"UIUC F&amp;A Rate","F&amp;A Rate Used"))</f>
        <v>F&amp;A Rate for Sponsor</v>
      </c>
      <c r="B3" s="279"/>
      <c r="C3" s="741" t="str">
        <f>T1</f>
        <v>TBD</v>
      </c>
      <c r="D3" s="741"/>
      <c r="E3" s="741"/>
      <c r="F3" s="412" t="str">
        <f>IF($C$7=$AT$1,"F&amp;A for "&amp;C7,IF($C$7=$AT$2,C7&amp;" F&amp;A Rate",IF($C$7=$AT$3,C7&amp;" F&amp;A Rate","")))</f>
        <v>F&amp;A for Cost Share</v>
      </c>
      <c r="H3" s="177" t="str">
        <f>IF($C$7=$AT$1,$T$1,IF($C$7=$AT$2,$AL$2,IF($C$7=$AT$3,$AL$4,"")))</f>
        <v>TBD</v>
      </c>
      <c r="I3" s="789"/>
      <c r="J3" s="790"/>
      <c r="K3" s="790"/>
      <c r="L3" s="790"/>
      <c r="M3" s="791"/>
      <c r="R3" s="660"/>
      <c r="T3" s="415"/>
      <c r="U3" s="415"/>
      <c r="V3" s="415"/>
      <c r="W3" s="415"/>
      <c r="X3" s="415"/>
      <c r="Y3" s="415"/>
      <c r="Z3" s="415"/>
      <c r="AA3" s="415"/>
      <c r="AD3" s="660" t="s">
        <v>154</v>
      </c>
      <c r="AE3" s="152"/>
      <c r="AF3" s="152"/>
      <c r="AG3" s="168">
        <v>8.5500000000000007E-2</v>
      </c>
      <c r="AH3" s="525">
        <v>3.1800000000000002E-2</v>
      </c>
      <c r="AI3" t="s">
        <v>16</v>
      </c>
      <c r="AJ3" s="16">
        <v>0.308</v>
      </c>
      <c r="AK3" s="16">
        <v>0.219</v>
      </c>
      <c r="AL3" s="35" t="s">
        <v>170</v>
      </c>
      <c r="AM3" s="17" t="s">
        <v>61</v>
      </c>
      <c r="AN3" s="17"/>
      <c r="AO3" s="17"/>
      <c r="AP3" s="17"/>
      <c r="AR3" s="35" t="s">
        <v>125</v>
      </c>
      <c r="AT3" t="s">
        <v>170</v>
      </c>
    </row>
    <row r="4" spans="1:70" ht="12" customHeight="1" x14ac:dyDescent="0.2">
      <c r="A4" s="412" t="s">
        <v>35</v>
      </c>
      <c r="B4" s="279"/>
      <c r="C4" s="741" t="str">
        <f>IF(OR($C$3=0,$C$3&lt;&gt;$T$1),$AM$2,IF($C$1=$AI$5,$AM$2,IF($C$3="TBD","MTDC",$AM$1)))</f>
        <v>MTDC</v>
      </c>
      <c r="D4" s="741"/>
      <c r="E4" s="741"/>
      <c r="F4" s="442" t="str">
        <f>IF($C$7=$AT$1,"Unrecovered F&amp;A as C/S?","")</f>
        <v>Unrecovered F&amp;A as C/S?</v>
      </c>
      <c r="H4" s="659" t="s">
        <v>54</v>
      </c>
      <c r="I4" s="789"/>
      <c r="J4" s="790"/>
      <c r="K4" s="790"/>
      <c r="L4" s="790"/>
      <c r="M4" s="791"/>
      <c r="R4" s="660"/>
      <c r="T4" s="415"/>
      <c r="AD4" s="660" t="s">
        <v>155</v>
      </c>
      <c r="AG4" s="168">
        <v>0.16200000000000001</v>
      </c>
      <c r="AH4" s="525">
        <v>0.10829999999999999</v>
      </c>
      <c r="AI4" t="s">
        <v>62</v>
      </c>
      <c r="AJ4" s="141">
        <v>0</v>
      </c>
      <c r="AK4" s="141"/>
      <c r="AL4" s="526">
        <v>0.38600000000000001</v>
      </c>
      <c r="AN4" s="17"/>
      <c r="AO4" s="17"/>
      <c r="AP4" s="17"/>
      <c r="AR4" t="s">
        <v>126</v>
      </c>
      <c r="AT4" t="s">
        <v>61</v>
      </c>
    </row>
    <row r="5" spans="1:70" ht="12" customHeight="1" thickBot="1" x14ac:dyDescent="0.25">
      <c r="A5" s="414" t="s">
        <v>42</v>
      </c>
      <c r="C5" s="742"/>
      <c r="D5" s="742"/>
      <c r="E5" s="742"/>
      <c r="F5" s="527"/>
      <c r="G5" s="13"/>
      <c r="H5" s="528"/>
      <c r="I5" s="792"/>
      <c r="J5" s="793"/>
      <c r="K5" s="793"/>
      <c r="L5" s="793"/>
      <c r="M5" s="794"/>
      <c r="AD5" s="660" t="s">
        <v>44</v>
      </c>
      <c r="AE5" s="152"/>
      <c r="AF5" s="152"/>
      <c r="AG5" s="169">
        <v>1E-4</v>
      </c>
      <c r="AH5" s="525">
        <v>4.0000000000000002E-4</v>
      </c>
      <c r="AI5" t="s">
        <v>63</v>
      </c>
      <c r="AJ5" s="141">
        <v>0.26</v>
      </c>
      <c r="AK5" s="141"/>
      <c r="AR5" s="35" t="s">
        <v>127</v>
      </c>
      <c r="AW5" s="35" t="s">
        <v>117</v>
      </c>
      <c r="AX5" s="35" t="s">
        <v>23</v>
      </c>
      <c r="AY5" s="35" t="s">
        <v>156</v>
      </c>
      <c r="AZ5" s="35" t="s">
        <v>157</v>
      </c>
      <c r="BA5" s="35" t="s">
        <v>159</v>
      </c>
      <c r="BB5" s="35" t="s">
        <v>160</v>
      </c>
      <c r="BC5" s="35" t="s">
        <v>128</v>
      </c>
      <c r="BD5" s="35" t="s">
        <v>158</v>
      </c>
    </row>
    <row r="6" spans="1:70" ht="11.25" customHeight="1" thickBot="1" x14ac:dyDescent="0.25">
      <c r="D6" s="443"/>
      <c r="E6" s="443"/>
      <c r="G6" s="13"/>
      <c r="H6" s="13"/>
      <c r="I6" s="13"/>
      <c r="J6" s="61"/>
      <c r="AD6" s="660" t="s">
        <v>41</v>
      </c>
      <c r="AE6" s="152"/>
      <c r="AF6" s="152"/>
      <c r="AG6" s="168">
        <v>7.6600000000000001E-2</v>
      </c>
      <c r="AH6" s="525">
        <v>7.6899999999999996E-2</v>
      </c>
      <c r="AI6" t="s">
        <v>64</v>
      </c>
      <c r="AJ6" s="141"/>
      <c r="AK6" s="141"/>
    </row>
    <row r="7" spans="1:70" ht="15" x14ac:dyDescent="0.2">
      <c r="A7" s="414" t="s">
        <v>171</v>
      </c>
      <c r="C7" s="731" t="s">
        <v>43</v>
      </c>
      <c r="D7" s="782"/>
      <c r="E7" s="783" t="s">
        <v>74</v>
      </c>
      <c r="F7" s="784"/>
      <c r="G7" s="780" t="s">
        <v>75</v>
      </c>
      <c r="H7" s="785"/>
      <c r="I7" s="780" t="s">
        <v>76</v>
      </c>
      <c r="J7" s="781"/>
      <c r="K7" s="780" t="s">
        <v>77</v>
      </c>
      <c r="L7" s="781"/>
      <c r="M7" s="780" t="s">
        <v>78</v>
      </c>
      <c r="N7" s="781"/>
      <c r="O7" s="778" t="s">
        <v>0</v>
      </c>
      <c r="P7" s="779"/>
      <c r="Q7" s="444" t="s">
        <v>0</v>
      </c>
      <c r="AJ7" s="205"/>
      <c r="AK7" s="152"/>
      <c r="AL7" s="152"/>
      <c r="AM7" s="168"/>
      <c r="AP7" s="141"/>
      <c r="AQ7" s="141"/>
    </row>
    <row r="8" spans="1:70" s="19" customFormat="1" ht="12.95" customHeight="1" thickBot="1" x14ac:dyDescent="0.25">
      <c r="A8" s="311"/>
      <c r="B8" s="281"/>
      <c r="E8" s="445" t="str">
        <f>IF(OR($C$7=$AT$2,$C$7=$AT$3),"UIUC",IF($C$7=$AT$1,"Sponsor","TBD 1"))</f>
        <v>Sponsor</v>
      </c>
      <c r="F8" s="446" t="str">
        <f>IF($C$7&lt;&gt;$AT$4,$C$7,"TBD 2")</f>
        <v>Cost Share</v>
      </c>
      <c r="G8" s="445" t="str">
        <f>$E$8</f>
        <v>Sponsor</v>
      </c>
      <c r="H8" s="224" t="str">
        <f>$F$8</f>
        <v>Cost Share</v>
      </c>
      <c r="I8" s="445" t="str">
        <f>$E$8</f>
        <v>Sponsor</v>
      </c>
      <c r="J8" s="224" t="str">
        <f>$F$8</f>
        <v>Cost Share</v>
      </c>
      <c r="K8" s="445" t="str">
        <f>$E$8</f>
        <v>Sponsor</v>
      </c>
      <c r="L8" s="224" t="str">
        <f>$F$8</f>
        <v>Cost Share</v>
      </c>
      <c r="M8" s="445" t="str">
        <f>$E$8</f>
        <v>Sponsor</v>
      </c>
      <c r="N8" s="224" t="str">
        <f>$F$8</f>
        <v>Cost Share</v>
      </c>
      <c r="O8" s="445" t="str">
        <f>$E$8</f>
        <v>Sponsor</v>
      </c>
      <c r="P8" s="224" t="str">
        <f>$F$8</f>
        <v>Cost Share</v>
      </c>
      <c r="Q8" s="447" t="s">
        <v>172</v>
      </c>
      <c r="S8"/>
      <c r="T8"/>
      <c r="U8"/>
      <c r="V8"/>
      <c r="W8"/>
      <c r="X8"/>
      <c r="Y8"/>
      <c r="Z8"/>
      <c r="AA8"/>
      <c r="AB8"/>
      <c r="AC8"/>
      <c r="AD8"/>
      <c r="AE8"/>
      <c r="AF8"/>
      <c r="AG8"/>
      <c r="AH8"/>
      <c r="AJ8"/>
      <c r="AK8"/>
      <c r="AL8"/>
      <c r="AM8"/>
      <c r="AN8"/>
      <c r="AO8"/>
      <c r="AU8"/>
      <c r="AV8"/>
      <c r="AW8"/>
      <c r="AX8"/>
      <c r="BA8"/>
      <c r="BB8"/>
      <c r="BC8"/>
      <c r="BD8"/>
      <c r="BE8"/>
      <c r="BF8"/>
      <c r="BG8"/>
      <c r="BH8"/>
      <c r="BI8"/>
      <c r="BJ8"/>
      <c r="BK8"/>
      <c r="BL8"/>
      <c r="BM8"/>
      <c r="BN8"/>
      <c r="BO8"/>
      <c r="BP8"/>
      <c r="BQ8"/>
      <c r="BR8"/>
    </row>
    <row r="9" spans="1:70" s="19" customFormat="1" ht="4.5" customHeight="1" thickBot="1" x14ac:dyDescent="0.25">
      <c r="A9" s="595"/>
      <c r="B9" s="596"/>
      <c r="C9" s="597"/>
      <c r="D9" s="597"/>
      <c r="E9" s="598"/>
      <c r="F9" s="599"/>
      <c r="G9" s="600"/>
      <c r="H9" s="601"/>
      <c r="I9" s="600"/>
      <c r="J9" s="601"/>
      <c r="K9" s="600"/>
      <c r="L9" s="601"/>
      <c r="M9" s="600"/>
      <c r="N9" s="602"/>
      <c r="O9" s="603"/>
      <c r="P9" s="588"/>
      <c r="Q9" s="614"/>
      <c r="R9"/>
      <c r="S9"/>
      <c r="T9"/>
      <c r="U9"/>
      <c r="V9"/>
      <c r="W9"/>
      <c r="X9"/>
      <c r="Y9"/>
      <c r="Z9"/>
      <c r="AA9"/>
      <c r="AB9"/>
      <c r="AC9"/>
      <c r="AD9"/>
      <c r="AE9"/>
      <c r="AF9"/>
      <c r="AG9"/>
      <c r="AH9"/>
      <c r="AJ9"/>
      <c r="AK9"/>
      <c r="AL9"/>
      <c r="AM9"/>
      <c r="AN9"/>
      <c r="AO9"/>
      <c r="AP9"/>
      <c r="AQ9"/>
      <c r="AR9"/>
      <c r="AS9"/>
      <c r="AT9"/>
      <c r="AU9"/>
      <c r="AV9"/>
      <c r="AW9"/>
      <c r="AX9"/>
      <c r="AY9"/>
      <c r="AZ9"/>
      <c r="BA9"/>
      <c r="BB9"/>
      <c r="BC9"/>
      <c r="BD9"/>
      <c r="BE9"/>
      <c r="BF9"/>
      <c r="BG9"/>
      <c r="BH9"/>
      <c r="BI9"/>
      <c r="BJ9"/>
      <c r="BK9"/>
      <c r="BL9"/>
      <c r="BM9"/>
      <c r="BN9"/>
      <c r="BO9"/>
      <c r="BP9"/>
      <c r="BQ9"/>
      <c r="BR9"/>
    </row>
    <row r="10" spans="1:70" s="19" customFormat="1" ht="12.95" customHeight="1" x14ac:dyDescent="0.2">
      <c r="A10" s="285" t="s">
        <v>1</v>
      </c>
      <c r="B10" s="286" t="s">
        <v>86</v>
      </c>
      <c r="C10" s="604" t="s">
        <v>54</v>
      </c>
      <c r="D10" s="605" t="s">
        <v>169</v>
      </c>
      <c r="E10" s="587"/>
      <c r="F10" s="606"/>
      <c r="G10" s="587"/>
      <c r="H10" s="278"/>
      <c r="I10" s="587"/>
      <c r="J10" s="278"/>
      <c r="K10" s="587"/>
      <c r="L10" s="278"/>
      <c r="M10" s="587"/>
      <c r="N10" s="606"/>
      <c r="O10" s="587"/>
      <c r="P10" s="278"/>
      <c r="Q10" s="586"/>
      <c r="R10" t="str">
        <f>IF($C$7=$AT$1,"Cost Share Totals (for myProposals)","")</f>
        <v>Cost Share Totals (for myProposals)</v>
      </c>
      <c r="AB10" s="405" t="str">
        <f>"To add Senior Personnel: Copy rows "&amp;ROW(B11)&amp;"-"&amp;ROW(B13)&amp;" and paste ('Insert Copied Rows') in empty (lower height) row beneath"</f>
        <v>To add Senior Personnel: Copy rows 11-13 and paste ('Insert Copied Rows') in empty (lower height) row beneath</v>
      </c>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row>
    <row r="11" spans="1:70" ht="12.75" customHeight="1" x14ac:dyDescent="0.2">
      <c r="A11" s="66"/>
      <c r="B11" s="287" t="s">
        <v>116</v>
      </c>
      <c r="C11" s="633" t="s">
        <v>178</v>
      </c>
      <c r="D11" s="634">
        <v>9</v>
      </c>
      <c r="E11" s="448"/>
      <c r="F11" s="449"/>
      <c r="G11" s="448" t="str">
        <f>IF(E11="","",E11)</f>
        <v/>
      </c>
      <c r="H11" s="288" t="str">
        <f t="shared" ref="H11:N11" si="0">IF(F11="","",F11)</f>
        <v/>
      </c>
      <c r="I11" s="448" t="str">
        <f t="shared" si="0"/>
        <v/>
      </c>
      <c r="J11" s="288" t="str">
        <f t="shared" si="0"/>
        <v/>
      </c>
      <c r="K11" s="448" t="str">
        <f t="shared" si="0"/>
        <v/>
      </c>
      <c r="L11" s="288" t="str">
        <f t="shared" si="0"/>
        <v/>
      </c>
      <c r="M11" s="448" t="str">
        <f t="shared" si="0"/>
        <v/>
      </c>
      <c r="N11" s="449" t="str">
        <f t="shared" si="0"/>
        <v/>
      </c>
      <c r="O11" s="543" t="str">
        <f>IF(E11="","                          -","Sum: "&amp;ROUND(SUMIF($E$8:$N$8,$O$8,$E11:$N11),2)&amp;" | Avg: "&amp;ROUND(AVERAGEIF($E$8:$N$8,$O$8,$E11:$N11),2))</f>
        <v xml:space="preserve">                          -</v>
      </c>
      <c r="P11" s="589" t="str">
        <f>IF(F11="","                          -","Sum: "&amp;ROUND(SUMIF($E$8:$N$8,$P$8,$E11:$N11),2)&amp;" | Avg: "&amp;ROUND(AVERAGEIF($E$8:$N$8,$P$8,$E11:$N11),2))</f>
        <v xml:space="preserve">                          -</v>
      </c>
      <c r="Q11" s="450" t="str">
        <f>IF(E11="","                          -","Sum: "&amp;ROUND(SUM(E11:N11),2)&amp;" | Avg: "&amp;ROUND(AVERAGE(E11:N11),2))</f>
        <v xml:space="preserve">                          -</v>
      </c>
      <c r="AB11" s="25"/>
    </row>
    <row r="12" spans="1:70" ht="12.95" customHeight="1" x14ac:dyDescent="0.2">
      <c r="A12" s="66"/>
      <c r="B12" s="290" t="s">
        <v>129</v>
      </c>
      <c r="C12" s="632" t="s">
        <v>176</v>
      </c>
      <c r="D12" s="638" t="str">
        <f>IF(ISNUMBER($B13),$B13/$D11,"")</f>
        <v/>
      </c>
      <c r="E12" s="451">
        <f>IF($D12&lt;&gt;"",ROUND($D12*(1+$H$1)^(IF($C$10=$AU$1,0,1))*E11,0),0)</f>
        <v>0</v>
      </c>
      <c r="F12" s="452">
        <f>IF($D12&lt;&gt;"",ROUND($D12*(1+$H$1)^(IF($C$10=$AU$1,0,1))*F11,0),0)</f>
        <v>0</v>
      </c>
      <c r="G12" s="451">
        <f>IF(AND($D12&lt;&gt;"",G11&lt;&gt;""),ROUND($D12*(1+$H$1)^(IF($C$10=$AU$1,1,2))*G11,0),0)</f>
        <v>0</v>
      </c>
      <c r="H12" s="453">
        <f>IF(AND($D12&lt;&gt;"",H11&lt;&gt;""),ROUND($D12*(1+$H$1)^(IF($C$10=$AU$1,1,2))*H11,0),0)</f>
        <v>0</v>
      </c>
      <c r="I12" s="451">
        <f>IF(AND($D12&lt;&gt;"",I11&lt;&gt;""),ROUND($D12*(1+$H$1)^(IF($C$10=$AU$1,2,3))*I11,0),0)</f>
        <v>0</v>
      </c>
      <c r="J12" s="453">
        <f>IF(AND($D12&lt;&gt;"",J11&lt;&gt;""),ROUND($D12*(1+$H$1)^(IF($C$10=$AU$1,2,3))*J11,0),0)</f>
        <v>0</v>
      </c>
      <c r="K12" s="451">
        <f>IF(AND($D12&lt;&gt;"",K11&lt;&gt;""),ROUND($D12*(1+$H$1)^(IF($C$10=$AU$1,3,4))*K11,0),0)</f>
        <v>0</v>
      </c>
      <c r="L12" s="453">
        <f>IF(AND($D12&lt;&gt;"",L11&lt;&gt;""),ROUND($D12*(1+$H$1)^(IF($C$10=$AU$1,3,4))*L11,0),0)</f>
        <v>0</v>
      </c>
      <c r="M12" s="451">
        <f>IF(AND($D12&lt;&gt;"",M11&lt;&gt;""),ROUND($D12*(1+$H$1)^(IF($C$10=$AU$1,4,5))*M11,0),0)</f>
        <v>0</v>
      </c>
      <c r="N12" s="452">
        <f>IF(AND($D12&lt;&gt;"",N11&lt;&gt;""),ROUND($D12*(1+$H$1)^(IF($C$10=$AU$1,4,5))*N11,0),0)</f>
        <v>0</v>
      </c>
      <c r="O12" s="534">
        <f>SUMIF($E$8:$N$8,$O$8,$E12:$N12)</f>
        <v>0</v>
      </c>
      <c r="P12" s="61">
        <f>SUMIF($E$8:$N$8,$P$8,$E12:$N12)</f>
        <v>0</v>
      </c>
      <c r="Q12" s="454">
        <f>SUM(E12:N12)</f>
        <v>0</v>
      </c>
      <c r="R12" s="403" t="str">
        <f>IF(AND($C$7=$AT$1,P12&gt;0),$B12,"")</f>
        <v/>
      </c>
      <c r="AB12" s="25"/>
    </row>
    <row r="13" spans="1:70" ht="12.95" customHeight="1" x14ac:dyDescent="0.2">
      <c r="A13" s="66"/>
      <c r="B13" s="291" t="s">
        <v>130</v>
      </c>
      <c r="C13" s="632" t="s">
        <v>177</v>
      </c>
      <c r="D13" s="635">
        <f>IF(AND($C$7=$AT$2,P12&gt;0),$AH$2,$AG$2)</f>
        <v>0.40889999999999999</v>
      </c>
      <c r="E13" s="455">
        <f t="shared" ref="E13:M13" si="1">ROUND(E12*$D13,0)</f>
        <v>0</v>
      </c>
      <c r="F13" s="456">
        <f>IF($C$7=$AT$2,ROUND(F12*$AH$2,0),ROUND(F12*$D13,0))</f>
        <v>0</v>
      </c>
      <c r="G13" s="455">
        <f t="shared" si="1"/>
        <v>0</v>
      </c>
      <c r="H13" s="456">
        <f>IF($C$7=$AT$2,ROUND(H12*$AH$2,0),ROUND(H12*$D13,0))</f>
        <v>0</v>
      </c>
      <c r="I13" s="455">
        <f t="shared" si="1"/>
        <v>0</v>
      </c>
      <c r="J13" s="456">
        <f>IF($C$7=$AT$2,ROUND(J12*$AH$2,0),ROUND(J12*$D13,0))</f>
        <v>0</v>
      </c>
      <c r="K13" s="455">
        <f t="shared" si="1"/>
        <v>0</v>
      </c>
      <c r="L13" s="456">
        <f>IF($C$7=$AT$2,ROUND(L12*$AH$2,0),ROUND(L12*$D13,0))</f>
        <v>0</v>
      </c>
      <c r="M13" s="455">
        <f t="shared" si="1"/>
        <v>0</v>
      </c>
      <c r="N13" s="456">
        <f>IF($C$7=$AT$2,ROUND(N12*$AH$2,0),ROUND(N12*$D13,0))</f>
        <v>0</v>
      </c>
      <c r="O13" s="542">
        <f>SUMIF($E$8:$N$8,$O$8,$E13:$N13)</f>
        <v>0</v>
      </c>
      <c r="P13" s="183">
        <f>SUMIF($E$8:$N$8,$P$8,$E13:$N13)</f>
        <v>0</v>
      </c>
      <c r="Q13" s="464">
        <f>SUM(E13:N13)</f>
        <v>0</v>
      </c>
      <c r="R13" s="403" t="str">
        <f>IF(AND($C$7=$AT$1,P12&gt;0),SUM(P12:P13),"")</f>
        <v/>
      </c>
      <c r="AB13" s="25"/>
    </row>
    <row r="14" spans="1:70" ht="12.75" customHeight="1" x14ac:dyDescent="0.2">
      <c r="A14" s="66"/>
      <c r="B14" s="287" t="s">
        <v>125</v>
      </c>
      <c r="C14" s="633" t="s">
        <v>178</v>
      </c>
      <c r="D14" s="634">
        <v>9</v>
      </c>
      <c r="E14" s="448"/>
      <c r="F14" s="449"/>
      <c r="G14" s="448" t="str">
        <f t="shared" ref="G14:N14" si="2">IF(E14="","",E14)</f>
        <v/>
      </c>
      <c r="H14" s="288" t="str">
        <f t="shared" si="2"/>
        <v/>
      </c>
      <c r="I14" s="448" t="str">
        <f t="shared" si="2"/>
        <v/>
      </c>
      <c r="J14" s="288" t="str">
        <f t="shared" si="2"/>
        <v/>
      </c>
      <c r="K14" s="448" t="str">
        <f t="shared" si="2"/>
        <v/>
      </c>
      <c r="L14" s="288" t="str">
        <f t="shared" si="2"/>
        <v/>
      </c>
      <c r="M14" s="448" t="str">
        <f t="shared" si="2"/>
        <v/>
      </c>
      <c r="N14" s="449" t="str">
        <f t="shared" si="2"/>
        <v/>
      </c>
      <c r="O14" s="543" t="str">
        <f>IF(E14="","                          -","Sum: "&amp;ROUND(SUMIF($E$8:$N$8,$O$8,$E14:$N14),2)&amp;" | Avg: "&amp;ROUND(AVERAGEIF($E$8:$N$8,$O$8,$E14:$N14),2))</f>
        <v xml:space="preserve">                          -</v>
      </c>
      <c r="P14" s="589" t="str">
        <f>IF(F14="","                          -","Sum: "&amp;ROUND(SUMIF($E$8:$N$8,$P$8,$E14:$N14),2)&amp;" | Avg: "&amp;ROUND(AVERAGEIF($E$8:$N$8,$P$8,$E14:$N14),2))</f>
        <v xml:space="preserve">                          -</v>
      </c>
      <c r="Q14" s="450" t="str">
        <f>IF(E14="","                          -","Sum: "&amp;ROUND(SUM(E14:N14),2)&amp;" | Avg: "&amp;ROUND(AVERAGE(E14:N14),2))</f>
        <v xml:space="preserve">                          -</v>
      </c>
      <c r="AB14" s="25"/>
    </row>
    <row r="15" spans="1:70" ht="12.95" customHeight="1" x14ac:dyDescent="0.2">
      <c r="A15" s="66"/>
      <c r="B15" s="290" t="s">
        <v>129</v>
      </c>
      <c r="C15" s="632" t="s">
        <v>176</v>
      </c>
      <c r="D15" s="638" t="str">
        <f>IF(ISNUMBER($B16),$B16/$D14,"")</f>
        <v/>
      </c>
      <c r="E15" s="451">
        <f>IF($D15&lt;&gt;"",ROUND($D15*(1+$H$1)^(IF($C$10=$AU$1,0,1))*E14,0),0)</f>
        <v>0</v>
      </c>
      <c r="F15" s="452">
        <f>IF($D15&lt;&gt;"",ROUND($D15*(1+$H$1)^(IF($C$10=$AU$1,0,1))*F14,0),0)</f>
        <v>0</v>
      </c>
      <c r="G15" s="451">
        <f>IF(AND($D15&lt;&gt;"",G14&lt;&gt;""),ROUND($D15*(1+$H$1)^(IF($C$10=$AU$1,1,2))*G14,0),0)</f>
        <v>0</v>
      </c>
      <c r="H15" s="453">
        <f>IF(AND($D15&lt;&gt;"",H14&lt;&gt;""),ROUND($D15*(1+$H$1)^(IF($C$10=$AU$1,1,2))*H14,0),0)</f>
        <v>0</v>
      </c>
      <c r="I15" s="451">
        <f>IF(AND($D15&lt;&gt;"",I14&lt;&gt;""),ROUND($D15*(1+$H$1)^(IF($C$10=$AU$1,2,3))*I14,0),0)</f>
        <v>0</v>
      </c>
      <c r="J15" s="453">
        <f>IF(AND($D15&lt;&gt;"",J14&lt;&gt;""),ROUND($D15*(1+$H$1)^(IF($C$10=$AU$1,2,3))*J14,0),0)</f>
        <v>0</v>
      </c>
      <c r="K15" s="451">
        <f>IF(AND($D15&lt;&gt;"",K14&lt;&gt;""),ROUND($D15*(1+$H$1)^(IF($C$10=$AU$1,3,4))*K14,0),0)</f>
        <v>0</v>
      </c>
      <c r="L15" s="453">
        <f>IF(AND($D15&lt;&gt;"",L14&lt;&gt;""),ROUND($D15*(1+$H$1)^(IF($C$10=$AU$1,3,4))*L14,0),0)</f>
        <v>0</v>
      </c>
      <c r="M15" s="451">
        <f>IF(AND($D15&lt;&gt;"",M14&lt;&gt;""),ROUND($D15*(1+$H$1)^(IF($C$10=$AU$1,4,5))*M14,0),0)</f>
        <v>0</v>
      </c>
      <c r="N15" s="452">
        <f>IF(AND($D15&lt;&gt;"",N14&lt;&gt;""),ROUND($D15*(1+$H$1)^(IF($C$10=$AU$1,4,5))*N14,0),0)</f>
        <v>0</v>
      </c>
      <c r="O15" s="534">
        <f>SUMIF($E$8:$N$8,$O$8,$E15:$N15)</f>
        <v>0</v>
      </c>
      <c r="P15" s="61">
        <f>SUMIF($E$8:$N$8,$P$8,$E15:$N15)</f>
        <v>0</v>
      </c>
      <c r="Q15" s="454">
        <f>SUM(E15:N15)</f>
        <v>0</v>
      </c>
      <c r="R15" s="403" t="str">
        <f>IF(AND($C$7=$AT$1,P15&gt;0),$B15,"")</f>
        <v/>
      </c>
      <c r="AB15" s="25"/>
    </row>
    <row r="16" spans="1:70" ht="12.95" customHeight="1" x14ac:dyDescent="0.2">
      <c r="A16" s="66"/>
      <c r="B16" s="291" t="s">
        <v>130</v>
      </c>
      <c r="C16" s="632" t="s">
        <v>177</v>
      </c>
      <c r="D16" s="635">
        <f>IF(AND($C$7=$AT$2,P15&gt;0),$AH$2,$AG$2)</f>
        <v>0.40889999999999999</v>
      </c>
      <c r="E16" s="455">
        <f>ROUND(E15*$D16,0)</f>
        <v>0</v>
      </c>
      <c r="F16" s="456">
        <f>IF($C$7=$AT$2,ROUND(F15*$AH$2,0),ROUND(F15*$D16,0))</f>
        <v>0</v>
      </c>
      <c r="G16" s="455">
        <f>ROUND(G15*$D16,0)</f>
        <v>0</v>
      </c>
      <c r="H16" s="456">
        <f>IF($C$7=$AT$2,ROUND(H15*$AH$2,0),ROUND(H15*$D16,0))</f>
        <v>0</v>
      </c>
      <c r="I16" s="455">
        <f>ROUND(I15*$D16,0)</f>
        <v>0</v>
      </c>
      <c r="J16" s="456">
        <f>IF($C$7=$AT$2,ROUND(J15*$AH$2,0),ROUND(J15*$D16,0))</f>
        <v>0</v>
      </c>
      <c r="K16" s="455">
        <f>ROUND(K15*$D16,0)</f>
        <v>0</v>
      </c>
      <c r="L16" s="456">
        <f>IF($C$7=$AT$2,ROUND(L15*$AH$2,0),ROUND(L15*$D16,0))</f>
        <v>0</v>
      </c>
      <c r="M16" s="455">
        <f>ROUND(M15*$D16,0)</f>
        <v>0</v>
      </c>
      <c r="N16" s="456">
        <f>IF($C$7=$AT$2,ROUND(N15*$AH$2,0),ROUND(N15*$D16,0))</f>
        <v>0</v>
      </c>
      <c r="O16" s="542">
        <f>SUMIF($E$8:$N$8,$O$8,$E16:$N16)</f>
        <v>0</v>
      </c>
      <c r="P16" s="183">
        <f>SUMIF($E$8:$N$8,$P$8,$E16:$N16)</f>
        <v>0</v>
      </c>
      <c r="Q16" s="464">
        <f>SUM(E16:N16)</f>
        <v>0</v>
      </c>
      <c r="R16" s="403" t="str">
        <f>IF(AND($C$7=$AT$1,P15&gt;0),SUM(P15:P16),"")</f>
        <v/>
      </c>
      <c r="AB16" s="25"/>
    </row>
    <row r="17" spans="1:70" ht="9" customHeight="1" x14ac:dyDescent="0.2">
      <c r="A17" s="20"/>
      <c r="C17" s="23"/>
      <c r="D17" s="112"/>
      <c r="E17" s="459"/>
      <c r="F17" s="460"/>
      <c r="G17" s="459"/>
      <c r="H17" s="13"/>
      <c r="I17" s="459"/>
      <c r="J17" s="13"/>
      <c r="K17" s="459"/>
      <c r="L17" s="13"/>
      <c r="M17" s="459"/>
      <c r="N17" s="460"/>
      <c r="O17" s="534"/>
      <c r="P17" s="61"/>
      <c r="Q17" s="454"/>
      <c r="R17" s="403"/>
      <c r="AB17" s="25"/>
    </row>
    <row r="18" spans="1:70" ht="12.95" customHeight="1" x14ac:dyDescent="0.2">
      <c r="A18" s="293"/>
      <c r="B18" s="294" t="s">
        <v>131</v>
      </c>
      <c r="C18" s="295" t="s">
        <v>20</v>
      </c>
      <c r="D18" s="296"/>
      <c r="E18" s="461">
        <f t="shared" ref="E18:N18" si="3">SUMIF($C$12:$C$17,"Mo. Salary",E$12:E$17)+SUMIF($C$12:$C$17,"Wage",E$12:E$17)</f>
        <v>0</v>
      </c>
      <c r="F18" s="462">
        <f t="shared" si="3"/>
        <v>0</v>
      </c>
      <c r="G18" s="461">
        <f t="shared" si="3"/>
        <v>0</v>
      </c>
      <c r="H18" s="462">
        <f t="shared" si="3"/>
        <v>0</v>
      </c>
      <c r="I18" s="461">
        <f t="shared" si="3"/>
        <v>0</v>
      </c>
      <c r="J18" s="462">
        <f t="shared" si="3"/>
        <v>0</v>
      </c>
      <c r="K18" s="461">
        <f t="shared" si="3"/>
        <v>0</v>
      </c>
      <c r="L18" s="462">
        <f t="shared" si="3"/>
        <v>0</v>
      </c>
      <c r="M18" s="461">
        <f t="shared" si="3"/>
        <v>0</v>
      </c>
      <c r="N18" s="462">
        <f t="shared" si="3"/>
        <v>0</v>
      </c>
      <c r="O18" s="538">
        <f>SUMIF($E$8:$N$8,$O$8,$E18:$N18)</f>
        <v>0</v>
      </c>
      <c r="P18" s="577">
        <f>SUMIF($E$8:$N$8,$P$8,$E18:$N18)</f>
        <v>0</v>
      </c>
      <c r="Q18" s="464">
        <f>SUM(E18:N18)</f>
        <v>0</v>
      </c>
      <c r="R18" s="403"/>
      <c r="AB18" s="25"/>
    </row>
    <row r="19" spans="1:70" s="35" customFormat="1" ht="12.95" customHeight="1" x14ac:dyDescent="0.2">
      <c r="A19" s="299"/>
      <c r="B19" s="300"/>
      <c r="C19" s="295" t="s">
        <v>21</v>
      </c>
      <c r="D19" s="301"/>
      <c r="E19" s="455">
        <f t="shared" ref="E19:N19" si="4">SUMIF($C$12:$C$17,"Fringe Rate",E$12:E$17)</f>
        <v>0</v>
      </c>
      <c r="F19" s="456">
        <f t="shared" si="4"/>
        <v>0</v>
      </c>
      <c r="G19" s="455">
        <f t="shared" si="4"/>
        <v>0</v>
      </c>
      <c r="H19" s="456">
        <f t="shared" si="4"/>
        <v>0</v>
      </c>
      <c r="I19" s="455">
        <f t="shared" si="4"/>
        <v>0</v>
      </c>
      <c r="J19" s="456">
        <f t="shared" si="4"/>
        <v>0</v>
      </c>
      <c r="K19" s="455">
        <f t="shared" si="4"/>
        <v>0</v>
      </c>
      <c r="L19" s="456">
        <f t="shared" si="4"/>
        <v>0</v>
      </c>
      <c r="M19" s="455">
        <f t="shared" si="4"/>
        <v>0</v>
      </c>
      <c r="N19" s="456">
        <f t="shared" si="4"/>
        <v>0</v>
      </c>
      <c r="O19" s="542">
        <f>SUMIF($E$8:$N$8,$O$8,$E19:$N19)</f>
        <v>0</v>
      </c>
      <c r="P19" s="183">
        <f>SUMIF($E$8:$N$8,$P$8,$E19:$N19)</f>
        <v>0</v>
      </c>
      <c r="Q19" s="458">
        <f>SUM(E19:N19)</f>
        <v>0</v>
      </c>
      <c r="R19" s="403"/>
      <c r="S19"/>
      <c r="AB19" s="167"/>
      <c r="AI19"/>
      <c r="AJ19"/>
      <c r="AK19"/>
      <c r="AL19"/>
      <c r="AM19"/>
      <c r="AN19"/>
      <c r="AO19"/>
      <c r="BP19"/>
      <c r="BQ19"/>
      <c r="BR19"/>
    </row>
    <row r="20" spans="1:70" s="35" customFormat="1" ht="12.95" customHeight="1" thickBot="1" x14ac:dyDescent="0.25">
      <c r="A20" s="299"/>
      <c r="B20" s="300"/>
      <c r="C20" s="295" t="s">
        <v>0</v>
      </c>
      <c r="D20" s="544"/>
      <c r="E20" s="545">
        <f t="shared" ref="E20:N20" si="5">SUM(E18:E19)</f>
        <v>0</v>
      </c>
      <c r="F20" s="546">
        <f t="shared" si="5"/>
        <v>0</v>
      </c>
      <c r="G20" s="545">
        <f t="shared" si="5"/>
        <v>0</v>
      </c>
      <c r="H20" s="547">
        <f t="shared" si="5"/>
        <v>0</v>
      </c>
      <c r="I20" s="545">
        <f t="shared" si="5"/>
        <v>0</v>
      </c>
      <c r="J20" s="547">
        <f t="shared" si="5"/>
        <v>0</v>
      </c>
      <c r="K20" s="545">
        <f t="shared" si="5"/>
        <v>0</v>
      </c>
      <c r="L20" s="547">
        <f t="shared" si="5"/>
        <v>0</v>
      </c>
      <c r="M20" s="545">
        <f t="shared" si="5"/>
        <v>0</v>
      </c>
      <c r="N20" s="546">
        <f t="shared" si="5"/>
        <v>0</v>
      </c>
      <c r="O20" s="532">
        <f>SUMIF($E$8:$N$8,$O$8,$E20:$N20)</f>
        <v>0</v>
      </c>
      <c r="P20" s="578">
        <f>SUMIF($E$8:$N$8,$P$8,$E20:$N20)</f>
        <v>0</v>
      </c>
      <c r="Q20" s="466">
        <f>SUM(E20:N20)</f>
        <v>0</v>
      </c>
      <c r="R20" s="403"/>
      <c r="S20"/>
      <c r="AB20" s="167"/>
      <c r="AI20"/>
      <c r="AJ20"/>
      <c r="AK20"/>
      <c r="AL20"/>
      <c r="AM20"/>
      <c r="AN20"/>
      <c r="AO20"/>
      <c r="BP20"/>
      <c r="BQ20"/>
      <c r="BR20"/>
    </row>
    <row r="21" spans="1:70" s="35" customFormat="1" ht="4.5" customHeight="1" thickBot="1" x14ac:dyDescent="0.25">
      <c r="A21" s="434"/>
      <c r="B21" s="435"/>
      <c r="C21" s="436"/>
      <c r="D21" s="437"/>
      <c r="E21" s="467"/>
      <c r="F21" s="468"/>
      <c r="G21" s="467"/>
      <c r="H21" s="438"/>
      <c r="I21" s="467"/>
      <c r="J21" s="438"/>
      <c r="K21" s="467"/>
      <c r="L21" s="438"/>
      <c r="M21" s="467"/>
      <c r="N21" s="468"/>
      <c r="O21" s="529"/>
      <c r="P21" s="548"/>
      <c r="Q21" s="469"/>
      <c r="R21" s="403"/>
      <c r="S21"/>
      <c r="AB21" s="167"/>
      <c r="AI21"/>
      <c r="AJ21"/>
      <c r="AK21"/>
      <c r="AL21"/>
      <c r="AM21"/>
      <c r="AN21"/>
      <c r="AO21"/>
      <c r="AP21"/>
      <c r="AQ21" s="16"/>
      <c r="AR21" s="16"/>
      <c r="AS21"/>
      <c r="AT21"/>
      <c r="AU21"/>
      <c r="AV21"/>
      <c r="AW21"/>
      <c r="AX21"/>
      <c r="AY21"/>
      <c r="AZ21"/>
      <c r="BA21"/>
      <c r="BB21"/>
      <c r="BC21"/>
      <c r="BD21"/>
      <c r="BE21"/>
      <c r="BF21"/>
      <c r="BG21"/>
      <c r="BH21"/>
      <c r="BI21"/>
      <c r="BJ21"/>
      <c r="BK21"/>
      <c r="BL21"/>
      <c r="BM21"/>
      <c r="BN21"/>
      <c r="BO21"/>
      <c r="BP21"/>
      <c r="BQ21"/>
      <c r="BR21"/>
    </row>
    <row r="22" spans="1:70" ht="12.95" customHeight="1" x14ac:dyDescent="0.2">
      <c r="A22" s="20" t="s">
        <v>2</v>
      </c>
      <c r="B22" s="426" t="s">
        <v>87</v>
      </c>
      <c r="C22" s="433" t="s">
        <v>54</v>
      </c>
      <c r="D22" s="440" t="s">
        <v>169</v>
      </c>
      <c r="E22" s="459"/>
      <c r="F22" s="460"/>
      <c r="G22" s="459"/>
      <c r="H22" s="13"/>
      <c r="I22" s="459"/>
      <c r="J22" s="13"/>
      <c r="K22" s="459"/>
      <c r="L22" s="13"/>
      <c r="M22" s="459"/>
      <c r="N22" s="460"/>
      <c r="O22" s="534"/>
      <c r="P22" s="61"/>
      <c r="Q22" s="454"/>
      <c r="R22" s="403"/>
      <c r="AB22" s="405" t="str">
        <f>"To add Other Personnel: Copy rows "&amp;ROW(B23)&amp;"-"&amp;ROW(B25)&amp;" and paste ('Insert Copied Rows') in empty (lower height) row beneath"</f>
        <v>To add Other Personnel: Copy rows 23-25 and paste ('Insert Copied Rows') in empty (lower height) row beneath</v>
      </c>
    </row>
    <row r="23" spans="1:70" ht="12.95" customHeight="1" x14ac:dyDescent="0.2">
      <c r="A23" s="311"/>
      <c r="B23" s="287" t="s">
        <v>117</v>
      </c>
      <c r="C23" s="633" t="s">
        <v>178</v>
      </c>
      <c r="D23" s="634">
        <f>IF(OR($B23=$AY$5,$B23=$AZ$5,$B23=$BA$5,$B23=$BB$5),"",12)</f>
        <v>12</v>
      </c>
      <c r="E23" s="448"/>
      <c r="F23" s="449"/>
      <c r="G23" s="448" t="str">
        <f>IF(E23="","",E23)</f>
        <v/>
      </c>
      <c r="H23" s="288" t="str">
        <f t="shared" ref="H23:N23" si="6">IF(F23="","",F23)</f>
        <v/>
      </c>
      <c r="I23" s="448" t="str">
        <f t="shared" si="6"/>
        <v/>
      </c>
      <c r="J23" s="288" t="str">
        <f t="shared" si="6"/>
        <v/>
      </c>
      <c r="K23" s="448" t="str">
        <f t="shared" si="6"/>
        <v/>
      </c>
      <c r="L23" s="288" t="str">
        <f t="shared" si="6"/>
        <v/>
      </c>
      <c r="M23" s="448" t="str">
        <f t="shared" si="6"/>
        <v/>
      </c>
      <c r="N23" s="449" t="str">
        <f t="shared" si="6"/>
        <v/>
      </c>
      <c r="O23" s="543" t="str">
        <f>IF(E23="","                          -","Sum: "&amp;ROUND(SUMIF($E$8:$N$8,$O$8,$E23:$N23),2)&amp;" | Avg: "&amp;ROUND(AVERAGEIF($E$8:$N$8,$O$8,$E23:$N23),2))</f>
        <v xml:space="preserve">                          -</v>
      </c>
      <c r="P23" s="589" t="str">
        <f>IF(F23="","                          -","Sum: "&amp;ROUND(SUMIF($E$8:$N$8,$P$8,$E23:$N23),2)&amp;" | Avg: "&amp;ROUND(AVERAGEIF($E$8:$N$8,$P$8,$E23:$N23),2))</f>
        <v xml:space="preserve">                          -</v>
      </c>
      <c r="Q23" s="450" t="str">
        <f>IF(E23="","                          -","Sum: "&amp;ROUND(SUM(E23:N23),2)&amp;" | Avg: "&amp;ROUND(AVERAGE(E23:N23),2))</f>
        <v xml:space="preserve">                          -</v>
      </c>
      <c r="R23" s="403"/>
    </row>
    <row r="24" spans="1:70" ht="12.95" customHeight="1" x14ac:dyDescent="0.2">
      <c r="A24" s="311"/>
      <c r="B24" s="291" t="str">
        <f>IF(B23=$AY$5,"Department &amp; Level",IF(B23=$AZ$5,"Department &amp; Level","Name or TBN"))</f>
        <v>Name or TBN</v>
      </c>
      <c r="C24" s="632" t="s">
        <v>176</v>
      </c>
      <c r="D24" s="637" t="str">
        <f>IF(ISNUMBER($B25),$B25/$D23,"")</f>
        <v/>
      </c>
      <c r="E24" s="451">
        <f>IF($D24&lt;&gt;"",ROUND($D24*(1+$H$1)^(IF($C$22=$AU$1,0,1))*E23,0),0)</f>
        <v>0</v>
      </c>
      <c r="F24" s="452">
        <f>IF($D24&lt;&gt;"",ROUND($D24*(1+$H$1)^(IF($C$22=$AU$1,0,1))*F23,0),0)</f>
        <v>0</v>
      </c>
      <c r="G24" s="451">
        <f>IF(AND($D24&lt;&gt;"",G23&lt;&gt;""),ROUND($D24*(1+$H$1)^(IF($C$22=$AU$1,1,2))*G23,0),0)</f>
        <v>0</v>
      </c>
      <c r="H24" s="453">
        <f>IF(AND($D24&lt;&gt;"",H23&lt;&gt;""),ROUND($D24*(1+$H$1)^(IF($C$22=$AU$1,1,2))*H23,0),0)</f>
        <v>0</v>
      </c>
      <c r="I24" s="451">
        <f>IF(AND($D24&lt;&gt;"",I23&lt;&gt;""),ROUND($D24*(1+$H$1)^(IF($C$22=$AU$1,2,3))*I23,0),0)</f>
        <v>0</v>
      </c>
      <c r="J24" s="453">
        <f>IF(AND($D24&lt;&gt;"",J23&lt;&gt;""),ROUND($D24*(1+$H$1)^(IF($C$22=$AU$1,2,3))*J23,0),0)</f>
        <v>0</v>
      </c>
      <c r="K24" s="451">
        <f>IF(AND($D24&lt;&gt;"",K23&lt;&gt;""),ROUND($D24*(1+$H$1)^(IF($C$22=$AU$1,3,4))*K23,0),0)</f>
        <v>0</v>
      </c>
      <c r="L24" s="453">
        <f>IF(AND($D24&lt;&gt;"",L23&lt;&gt;""),ROUND($D24*(1+$H$1)^(IF($C$22=$AU$1,3,4))*L23,0),0)</f>
        <v>0</v>
      </c>
      <c r="M24" s="451">
        <f>IF(AND($D24&lt;&gt;"",M23&lt;&gt;""),ROUND($D24*(1+$H$1)^(IF($C$22=$AU$1,4,5))*M23,0),0)</f>
        <v>0</v>
      </c>
      <c r="N24" s="452">
        <f>IF(AND($D24&lt;&gt;"",N23&lt;&gt;""),ROUND($D24*(1+$H$1)^(IF($C$22=$AU$1,4,5))*N23,0),0)</f>
        <v>0</v>
      </c>
      <c r="O24" s="534">
        <f>SUMIF($E$8:$N$8,$O$8,$E24:$N24)</f>
        <v>0</v>
      </c>
      <c r="P24" s="61">
        <f>SUMIF($E$8:$N$8,$P$8,$E24:$N24)</f>
        <v>0</v>
      </c>
      <c r="Q24" s="454">
        <f>SUM(E24:N24)</f>
        <v>0</v>
      </c>
      <c r="R24" s="403" t="str">
        <f>IF(AND($C$7=$AT$1,P24&gt;0),$B24,"")</f>
        <v/>
      </c>
    </row>
    <row r="25" spans="1:70" ht="12.95" customHeight="1" x14ac:dyDescent="0.2">
      <c r="A25" s="311"/>
      <c r="B25" s="291" t="str">
        <f>IF(B23=$AY$5,MID(B23,FIND("nt ",B23)+3,256),IF(B23=$AZ$5,MID(B23,FIND("nt ",B23)+3,256),IF(B23=$BA$5,MID(B23,FIND("ly ",B23)+3,256),IF(B23=$BB$5,MID(B23,FIND("ly ",B23)+3,256),"Annual Salary"))))</f>
        <v>Annual Salary</v>
      </c>
      <c r="C25" s="632" t="s">
        <v>177</v>
      </c>
      <c r="D25" s="636">
        <f>IF(AND($C$7=$AT$2,P24&gt;0),IF($B23=$AW$5,$AH$2,IF($B23=$AX$5,$AH$2,IF($B23=$AY$5,$AH$3,IF($B23=$AZ$5,$AH$4,IF($B23=$BA$5,$AH$5,IF($B23=$BB$5,$AH$6,IF($B23=$BC$5,$AH$2,IF($B23=$BD$5,$AH$6,$AH$2)))))))),IF($B23=$AW$5,$AG$2,IF($B23=$AX$5,$AG$2,IF($B23=$AY$5,$AG$3,IF($B23=$AZ$5,$AG$4,IF($B23=$BA$5,$AG$5,IF($B23=$BB$5,$AG$6,IF($B23=$BC$5,$AG$2,IF($B23=$BD$5,$AG$6,$AG$2)))))))))</f>
        <v>0.40889999999999999</v>
      </c>
      <c r="E25" s="455">
        <f>ROUND(E24*$D25,0)</f>
        <v>0</v>
      </c>
      <c r="F25" s="456">
        <f>ROUND(F24*$D25,0)</f>
        <v>0</v>
      </c>
      <c r="G25" s="455">
        <f t="shared" ref="G25:N25" si="7">ROUND(G24*$D25,0)</f>
        <v>0</v>
      </c>
      <c r="H25" s="457">
        <f t="shared" si="7"/>
        <v>0</v>
      </c>
      <c r="I25" s="455">
        <f t="shared" si="7"/>
        <v>0</v>
      </c>
      <c r="J25" s="457">
        <f t="shared" si="7"/>
        <v>0</v>
      </c>
      <c r="K25" s="455">
        <f t="shared" si="7"/>
        <v>0</v>
      </c>
      <c r="L25" s="457">
        <f t="shared" si="7"/>
        <v>0</v>
      </c>
      <c r="M25" s="455">
        <f t="shared" si="7"/>
        <v>0</v>
      </c>
      <c r="N25" s="456">
        <f t="shared" si="7"/>
        <v>0</v>
      </c>
      <c r="O25" s="542">
        <f>SUMIF($E$8:$N$8,$O$8,$E25:$N25)</f>
        <v>0</v>
      </c>
      <c r="P25" s="183">
        <f>SUMIF($E$8:$N$8,$P$8,$E25:$N25)</f>
        <v>0</v>
      </c>
      <c r="Q25" s="458">
        <f>SUM(E25:N25)</f>
        <v>0</v>
      </c>
      <c r="R25" s="403" t="str">
        <f>IF(AND($C$7=$AT$1,P24&gt;0),SUM(P24:P25),"")</f>
        <v/>
      </c>
      <c r="S25" s="470"/>
      <c r="AD25" s="421"/>
    </row>
    <row r="26" spans="1:70" ht="12.95" customHeight="1" x14ac:dyDescent="0.2">
      <c r="A26" s="311"/>
      <c r="B26" s="287" t="s">
        <v>156</v>
      </c>
      <c r="C26" s="633" t="s">
        <v>178</v>
      </c>
      <c r="D26" s="634" t="str">
        <f>IF(OR($B26=$AY$5,$B26=$AZ$5,$B26=$BA$5,$B26=$BB$5),"",12)</f>
        <v/>
      </c>
      <c r="E26" s="448"/>
      <c r="F26" s="449"/>
      <c r="G26" s="448" t="str">
        <f t="shared" ref="G26:N26" si="8">IF(E26="","",E26)</f>
        <v/>
      </c>
      <c r="H26" s="288" t="str">
        <f t="shared" si="8"/>
        <v/>
      </c>
      <c r="I26" s="448" t="str">
        <f t="shared" si="8"/>
        <v/>
      </c>
      <c r="J26" s="288" t="str">
        <f t="shared" si="8"/>
        <v/>
      </c>
      <c r="K26" s="448" t="str">
        <f t="shared" si="8"/>
        <v/>
      </c>
      <c r="L26" s="288" t="str">
        <f t="shared" si="8"/>
        <v/>
      </c>
      <c r="M26" s="448" t="str">
        <f t="shared" si="8"/>
        <v/>
      </c>
      <c r="N26" s="449" t="str">
        <f t="shared" si="8"/>
        <v/>
      </c>
      <c r="O26" s="543" t="str">
        <f>IF(E26="","                          -","Sum: "&amp;ROUND(SUMIF($E$8:$N$8,$O$8,$E26:$N26),2)&amp;" | Avg: "&amp;ROUND(AVERAGEIF($E$8:$N$8,$O$8,$E26:$N26),2))</f>
        <v xml:space="preserve">                          -</v>
      </c>
      <c r="P26" s="589" t="str">
        <f>IF(F26="","                          -","Sum: "&amp;ROUND(SUMIF($E$8:$N$8,$P$8,$E26:$N26),2)&amp;" | Avg: "&amp;ROUND(AVERAGEIF($E$8:$N$8,$P$8,$E26:$N26),2))</f>
        <v xml:space="preserve">                          -</v>
      </c>
      <c r="Q26" s="450" t="str">
        <f>IF(E26="","                          -","Sum: "&amp;ROUND(SUM(E26:N26),2)&amp;" | Avg: "&amp;ROUND(AVERAGE(E26:N26),2))</f>
        <v xml:space="preserve">                          -</v>
      </c>
      <c r="R26" s="403"/>
    </row>
    <row r="27" spans="1:70" ht="12.95" customHeight="1" x14ac:dyDescent="0.2">
      <c r="A27" s="311"/>
      <c r="B27" s="291" t="str">
        <f>IF(B26=$AY$5,"Department &amp; Level",IF(B26=$AZ$5,"Department &amp; Level","Name or TBN"))</f>
        <v>Department &amp; Level</v>
      </c>
      <c r="C27" s="632" t="s">
        <v>176</v>
      </c>
      <c r="D27" s="637" t="str">
        <f>IF(ISNUMBER($B28),$B28/$D26,"")</f>
        <v/>
      </c>
      <c r="E27" s="451">
        <f>IF($D27&lt;&gt;"",ROUND($D27*(1+$H$1)^(IF($C$22=$AU$1,0,1))*E26,0),0)</f>
        <v>0</v>
      </c>
      <c r="F27" s="452">
        <f>IF($D27&lt;&gt;"",ROUND($D27*(1+$H$1)^(IF($C$22=$AU$1,0,1))*F26,0),0)</f>
        <v>0</v>
      </c>
      <c r="G27" s="451">
        <f>IF(AND($D27&lt;&gt;"",G26&lt;&gt;""),ROUND($D27*(1+$H$1)^(IF($C$22=$AU$1,1,2))*G26,0),0)</f>
        <v>0</v>
      </c>
      <c r="H27" s="453">
        <f>IF(AND($D27&lt;&gt;"",H26&lt;&gt;""),ROUND($D27*(1+$H$1)^(IF($C$22=$AU$1,1,2))*H26,0),0)</f>
        <v>0</v>
      </c>
      <c r="I27" s="451">
        <f>IF(AND($D27&lt;&gt;"",I26&lt;&gt;""),ROUND($D27*(1+$H$1)^(IF($C$22=$AU$1,2,3))*I26,0),0)</f>
        <v>0</v>
      </c>
      <c r="J27" s="453">
        <f>IF(AND($D27&lt;&gt;"",J26&lt;&gt;""),ROUND($D27*(1+$H$1)^(IF($C$22=$AU$1,2,3))*J26,0),0)</f>
        <v>0</v>
      </c>
      <c r="K27" s="451">
        <f>IF(AND($D27&lt;&gt;"",K26&lt;&gt;""),ROUND($D27*(1+$H$1)^(IF($C$22=$AU$1,3,4))*K26,0),0)</f>
        <v>0</v>
      </c>
      <c r="L27" s="453">
        <f>IF(AND($D27&lt;&gt;"",L26&lt;&gt;""),ROUND($D27*(1+$H$1)^(IF($C$22=$AU$1,3,4))*L26,0),0)</f>
        <v>0</v>
      </c>
      <c r="M27" s="451">
        <f>IF(AND($D27&lt;&gt;"",M26&lt;&gt;""),ROUND($D27*(1+$H$1)^(IF($C$22=$AU$1,4,5))*M26,0),0)</f>
        <v>0</v>
      </c>
      <c r="N27" s="452">
        <f>IF(AND($D27&lt;&gt;"",N26&lt;&gt;""),ROUND($D27*(1+$H$1)^(IF($C$22=$AU$1,4,5))*N26,0),0)</f>
        <v>0</v>
      </c>
      <c r="O27" s="534">
        <f>SUMIF($E$8:$N$8,$O$8,$E27:$N27)</f>
        <v>0</v>
      </c>
      <c r="P27" s="61">
        <f>SUMIF($E$8:$N$8,$P$8,$E27:$N27)</f>
        <v>0</v>
      </c>
      <c r="Q27" s="454">
        <f>SUM(E27:N27)</f>
        <v>0</v>
      </c>
      <c r="R27" s="403" t="str">
        <f>IF(AND($C$7=$AT$1,P27&gt;0),$B27,"")</f>
        <v/>
      </c>
    </row>
    <row r="28" spans="1:70" ht="12.95" customHeight="1" x14ac:dyDescent="0.2">
      <c r="A28" s="311"/>
      <c r="B28" s="291" t="str">
        <f>IF(B26=$AY$5,MID(B26,FIND("nt ",B26)+3,256),IF(B26=$AZ$5,MID(B26,FIND("nt ",B26)+3,256),IF(B26=$BA$5,MID(B26,FIND("ly ",B26)+3,256),IF(B26=$BB$5,MID(B26,FIND("ly ",B26)+3,256),"Annual Salary"))))</f>
        <v>≥ Half Time Enroll</v>
      </c>
      <c r="C28" s="632" t="s">
        <v>177</v>
      </c>
      <c r="D28" s="636">
        <f>IF(AND($C$7=$AT$2,P27&gt;0),IF($B26=$AW$5,$AH$2,IF($B26=$AX$5,$AH$2,IF($B26=$AY$5,$AH$3,IF($B26=$AZ$5,$AH$4,IF($B26=$BA$5,$AH$5,IF($B26=$BB$5,$AH$6,IF($B26=$BC$5,$AH$2,IF($B26=$BD$5,$AH$6,$AH$2)))))))),IF($B26=$AW$5,$AG$2,IF($B26=$AX$5,$AG$2,IF($B26=$AY$5,$AG$3,IF($B26=$AZ$5,$AG$4,IF($B26=$BA$5,$AG$5,IF($B26=$BB$5,$AG$6,IF($B26=$BC$5,$AG$2,IF($B26=$BD$5,$AG$6,$AG$2)))))))))</f>
        <v>8.5500000000000007E-2</v>
      </c>
      <c r="E28" s="455">
        <f>ROUND(E27*$D28,0)</f>
        <v>0</v>
      </c>
      <c r="F28" s="456">
        <f>ROUND(F27*$D28,0)</f>
        <v>0</v>
      </c>
      <c r="G28" s="455">
        <f t="shared" ref="G28:N28" si="9">ROUND(G27*$D28,0)</f>
        <v>0</v>
      </c>
      <c r="H28" s="457">
        <f t="shared" si="9"/>
        <v>0</v>
      </c>
      <c r="I28" s="455">
        <f t="shared" si="9"/>
        <v>0</v>
      </c>
      <c r="J28" s="457">
        <f t="shared" si="9"/>
        <v>0</v>
      </c>
      <c r="K28" s="455">
        <f t="shared" si="9"/>
        <v>0</v>
      </c>
      <c r="L28" s="457">
        <f t="shared" si="9"/>
        <v>0</v>
      </c>
      <c r="M28" s="455">
        <f t="shared" si="9"/>
        <v>0</v>
      </c>
      <c r="N28" s="456">
        <f t="shared" si="9"/>
        <v>0</v>
      </c>
      <c r="O28" s="542">
        <f>SUMIF($E$8:$N$8,$O$8,$E28:$N28)</f>
        <v>0</v>
      </c>
      <c r="P28" s="183">
        <f>SUMIF($E$8:$N$8,$P$8,$E28:$N28)</f>
        <v>0</v>
      </c>
      <c r="Q28" s="458">
        <f>SUM(E28:N28)</f>
        <v>0</v>
      </c>
      <c r="R28" s="403" t="str">
        <f>IF(AND($C$7=$AT$1,P27&gt;0),SUM(P27:P28),"")</f>
        <v/>
      </c>
      <c r="S28" s="470"/>
      <c r="AD28" s="421"/>
    </row>
    <row r="29" spans="1:70" ht="9" customHeight="1" x14ac:dyDescent="0.2">
      <c r="A29" s="20"/>
      <c r="C29" s="23"/>
      <c r="D29" s="112"/>
      <c r="E29" s="459"/>
      <c r="F29" s="460"/>
      <c r="G29" s="459"/>
      <c r="H29" s="13"/>
      <c r="I29" s="459"/>
      <c r="J29" s="13"/>
      <c r="K29" s="459"/>
      <c r="L29" s="13"/>
      <c r="M29" s="459"/>
      <c r="N29" s="460"/>
      <c r="O29" s="534"/>
      <c r="P29" s="61"/>
      <c r="Q29" s="454"/>
      <c r="R29" s="403"/>
    </row>
    <row r="30" spans="1:70" ht="12.95" customHeight="1" x14ac:dyDescent="0.2">
      <c r="A30" s="293"/>
      <c r="B30" s="294" t="s">
        <v>132</v>
      </c>
      <c r="C30" s="295" t="s">
        <v>20</v>
      </c>
      <c r="D30" s="312"/>
      <c r="E30" s="461">
        <f t="shared" ref="E30:N30" si="10">SUMIF($C$24:$C$29,"Mo. Salary",E24:E29)</f>
        <v>0</v>
      </c>
      <c r="F30" s="462">
        <f t="shared" si="10"/>
        <v>0</v>
      </c>
      <c r="G30" s="461">
        <f t="shared" si="10"/>
        <v>0</v>
      </c>
      <c r="H30" s="462">
        <f t="shared" si="10"/>
        <v>0</v>
      </c>
      <c r="I30" s="461">
        <f t="shared" si="10"/>
        <v>0</v>
      </c>
      <c r="J30" s="462">
        <f t="shared" si="10"/>
        <v>0</v>
      </c>
      <c r="K30" s="461">
        <f t="shared" si="10"/>
        <v>0</v>
      </c>
      <c r="L30" s="462">
        <f t="shared" si="10"/>
        <v>0</v>
      </c>
      <c r="M30" s="461">
        <f t="shared" si="10"/>
        <v>0</v>
      </c>
      <c r="N30" s="462">
        <f t="shared" si="10"/>
        <v>0</v>
      </c>
      <c r="O30" s="538">
        <f>SUMIF($E$8:$N$8,$O$8,$E30:$N30)</f>
        <v>0</v>
      </c>
      <c r="P30" s="577">
        <f>SUMIF($E$8:$N$8,$P$8,$E30:$N30)</f>
        <v>0</v>
      </c>
      <c r="Q30" s="464">
        <f>SUM(E30:N30)</f>
        <v>0</v>
      </c>
      <c r="R30" s="403"/>
    </row>
    <row r="31" spans="1:70" ht="12.95" customHeight="1" x14ac:dyDescent="0.2">
      <c r="A31" s="293"/>
      <c r="B31" s="313"/>
      <c r="C31" s="295" t="s">
        <v>21</v>
      </c>
      <c r="D31" s="312"/>
      <c r="E31" s="455">
        <f t="shared" ref="E31:N31" si="11">SUMIF($C$24:$C$29,"Fringe Rate",E24:E29)</f>
        <v>0</v>
      </c>
      <c r="F31" s="456">
        <f t="shared" si="11"/>
        <v>0</v>
      </c>
      <c r="G31" s="455">
        <f t="shared" si="11"/>
        <v>0</v>
      </c>
      <c r="H31" s="456">
        <f t="shared" si="11"/>
        <v>0</v>
      </c>
      <c r="I31" s="455">
        <f t="shared" si="11"/>
        <v>0</v>
      </c>
      <c r="J31" s="456">
        <f t="shared" si="11"/>
        <v>0</v>
      </c>
      <c r="K31" s="455">
        <f t="shared" si="11"/>
        <v>0</v>
      </c>
      <c r="L31" s="456">
        <f t="shared" si="11"/>
        <v>0</v>
      </c>
      <c r="M31" s="455">
        <f t="shared" si="11"/>
        <v>0</v>
      </c>
      <c r="N31" s="456">
        <f t="shared" si="11"/>
        <v>0</v>
      </c>
      <c r="O31" s="542">
        <f>SUMIF($E$8:$N$8,$O$8,$E31:$N31)</f>
        <v>0</v>
      </c>
      <c r="P31" s="183">
        <f>SUMIF($E$8:$N$8,$P$8,$E31:$N31)</f>
        <v>0</v>
      </c>
      <c r="Q31" s="458">
        <f>SUM(E31:N31)</f>
        <v>0</v>
      </c>
      <c r="R31" s="403"/>
    </row>
    <row r="32" spans="1:70" ht="12.95" customHeight="1" thickBot="1" x14ac:dyDescent="0.25">
      <c r="A32" s="293"/>
      <c r="B32" s="384"/>
      <c r="C32" s="295" t="s">
        <v>0</v>
      </c>
      <c r="D32" s="544"/>
      <c r="E32" s="545">
        <f t="shared" ref="E32:N32" si="12">SUM(E30:E31)</f>
        <v>0</v>
      </c>
      <c r="F32" s="546">
        <f t="shared" si="12"/>
        <v>0</v>
      </c>
      <c r="G32" s="545">
        <f t="shared" si="12"/>
        <v>0</v>
      </c>
      <c r="H32" s="547">
        <f t="shared" si="12"/>
        <v>0</v>
      </c>
      <c r="I32" s="545">
        <f t="shared" si="12"/>
        <v>0</v>
      </c>
      <c r="J32" s="547">
        <f t="shared" si="12"/>
        <v>0</v>
      </c>
      <c r="K32" s="545">
        <f t="shared" si="12"/>
        <v>0</v>
      </c>
      <c r="L32" s="547">
        <f t="shared" si="12"/>
        <v>0</v>
      </c>
      <c r="M32" s="545">
        <f t="shared" si="12"/>
        <v>0</v>
      </c>
      <c r="N32" s="546">
        <f t="shared" si="12"/>
        <v>0</v>
      </c>
      <c r="O32" s="532">
        <f>SUMIF($E$8:$N$8,$O$8,$E32:$N32)</f>
        <v>0</v>
      </c>
      <c r="P32" s="578">
        <f>SUMIF($E$8:$N$8,$P$8,$E32:$N32)</f>
        <v>0</v>
      </c>
      <c r="Q32" s="517">
        <f>SUM(E32:N32)</f>
        <v>0</v>
      </c>
      <c r="R32" s="403"/>
    </row>
    <row r="33" spans="1:28" ht="4.5" customHeight="1" thickBot="1" x14ac:dyDescent="0.25">
      <c r="A33" s="549"/>
      <c r="B33" s="550"/>
      <c r="C33" s="551"/>
      <c r="D33" s="551"/>
      <c r="E33" s="467"/>
      <c r="F33" s="468"/>
      <c r="G33" s="467"/>
      <c r="H33" s="438"/>
      <c r="I33" s="467"/>
      <c r="J33" s="438"/>
      <c r="K33" s="467"/>
      <c r="L33" s="438"/>
      <c r="M33" s="467"/>
      <c r="N33" s="468"/>
      <c r="O33" s="529"/>
      <c r="P33" s="548"/>
      <c r="Q33" s="469"/>
      <c r="R33" s="403"/>
    </row>
    <row r="34" spans="1:28" ht="12.95" customHeight="1" x14ac:dyDescent="0.2">
      <c r="A34" s="293"/>
      <c r="B34" s="384"/>
      <c r="C34" s="295" t="s">
        <v>20</v>
      </c>
      <c r="D34" s="301"/>
      <c r="E34" s="461">
        <f t="shared" ref="E34:N34" si="13">E18+E30</f>
        <v>0</v>
      </c>
      <c r="F34" s="462">
        <f t="shared" si="13"/>
        <v>0</v>
      </c>
      <c r="G34" s="461">
        <f t="shared" si="13"/>
        <v>0</v>
      </c>
      <c r="H34" s="463">
        <f t="shared" si="13"/>
        <v>0</v>
      </c>
      <c r="I34" s="461">
        <f t="shared" si="13"/>
        <v>0</v>
      </c>
      <c r="J34" s="463">
        <f t="shared" si="13"/>
        <v>0</v>
      </c>
      <c r="K34" s="461">
        <f t="shared" si="13"/>
        <v>0</v>
      </c>
      <c r="L34" s="463">
        <f t="shared" si="13"/>
        <v>0</v>
      </c>
      <c r="M34" s="461">
        <f t="shared" si="13"/>
        <v>0</v>
      </c>
      <c r="N34" s="462">
        <f t="shared" si="13"/>
        <v>0</v>
      </c>
      <c r="O34" s="538">
        <f>SUMIF($E$8:$N$8,$O$8,$E34:$N34)</f>
        <v>0</v>
      </c>
      <c r="P34" s="577">
        <f>SUMIF($E$8:$N$8,$P$8,$E34:$N34)</f>
        <v>0</v>
      </c>
      <c r="Q34" s="464">
        <f>SUM(E34:N34)</f>
        <v>0</v>
      </c>
      <c r="R34" s="403"/>
    </row>
    <row r="35" spans="1:28" ht="12.95" customHeight="1" x14ac:dyDescent="0.2">
      <c r="A35" s="293" t="s">
        <v>3</v>
      </c>
      <c r="B35" s="325" t="s">
        <v>88</v>
      </c>
      <c r="C35" s="295" t="s">
        <v>21</v>
      </c>
      <c r="D35" s="301"/>
      <c r="E35" s="455">
        <f t="shared" ref="E35:N35" si="14">E19+E31</f>
        <v>0</v>
      </c>
      <c r="F35" s="456">
        <f t="shared" si="14"/>
        <v>0</v>
      </c>
      <c r="G35" s="455">
        <f t="shared" si="14"/>
        <v>0</v>
      </c>
      <c r="H35" s="457">
        <f t="shared" si="14"/>
        <v>0</v>
      </c>
      <c r="I35" s="455">
        <f t="shared" si="14"/>
        <v>0</v>
      </c>
      <c r="J35" s="457">
        <f t="shared" si="14"/>
        <v>0</v>
      </c>
      <c r="K35" s="455">
        <f t="shared" si="14"/>
        <v>0</v>
      </c>
      <c r="L35" s="457">
        <f t="shared" si="14"/>
        <v>0</v>
      </c>
      <c r="M35" s="455">
        <f t="shared" si="14"/>
        <v>0</v>
      </c>
      <c r="N35" s="456">
        <f t="shared" si="14"/>
        <v>0</v>
      </c>
      <c r="O35" s="542">
        <f>SUMIF($E$8:$N$8,$O$8,$E35:$N35)</f>
        <v>0</v>
      </c>
      <c r="P35" s="183">
        <f>SUMIF($E$8:$N$8,$P$8,$E35:$N35)</f>
        <v>0</v>
      </c>
      <c r="Q35" s="458">
        <f>SUM(E35:N35)</f>
        <v>0</v>
      </c>
      <c r="R35" s="403"/>
    </row>
    <row r="36" spans="1:28" ht="12.95" customHeight="1" thickBot="1" x14ac:dyDescent="0.25">
      <c r="A36" s="293"/>
      <c r="B36" s="325" t="s">
        <v>29</v>
      </c>
      <c r="C36" s="295" t="s">
        <v>0</v>
      </c>
      <c r="D36" s="301"/>
      <c r="E36" s="545">
        <f t="shared" ref="E36:N36" si="15">SUM(E34:E35)</f>
        <v>0</v>
      </c>
      <c r="F36" s="546">
        <f t="shared" si="15"/>
        <v>0</v>
      </c>
      <c r="G36" s="545">
        <f t="shared" si="15"/>
        <v>0</v>
      </c>
      <c r="H36" s="547">
        <f t="shared" si="15"/>
        <v>0</v>
      </c>
      <c r="I36" s="545">
        <f t="shared" si="15"/>
        <v>0</v>
      </c>
      <c r="J36" s="547">
        <f t="shared" si="15"/>
        <v>0</v>
      </c>
      <c r="K36" s="545">
        <f t="shared" si="15"/>
        <v>0</v>
      </c>
      <c r="L36" s="547">
        <f t="shared" si="15"/>
        <v>0</v>
      </c>
      <c r="M36" s="545">
        <f t="shared" si="15"/>
        <v>0</v>
      </c>
      <c r="N36" s="546">
        <f t="shared" si="15"/>
        <v>0</v>
      </c>
      <c r="O36" s="532">
        <f>SUMIF($E$8:$N$8,$O$8,$E36:$N36)</f>
        <v>0</v>
      </c>
      <c r="P36" s="578">
        <f>SUMIF($E$8:$N$8,$P$8,$E36:$N36)</f>
        <v>0</v>
      </c>
      <c r="Q36" s="517">
        <f>SUM(E36:N36)</f>
        <v>0</v>
      </c>
      <c r="R36" s="403"/>
    </row>
    <row r="37" spans="1:28" ht="4.5" customHeight="1" thickBot="1" x14ac:dyDescent="0.25">
      <c r="A37" s="549"/>
      <c r="B37" s="552"/>
      <c r="C37" s="551"/>
      <c r="D37" s="551"/>
      <c r="E37" s="553"/>
      <c r="F37" s="554"/>
      <c r="G37" s="553"/>
      <c r="H37" s="555"/>
      <c r="I37" s="553"/>
      <c r="J37" s="555"/>
      <c r="K37" s="553"/>
      <c r="L37" s="555"/>
      <c r="M37" s="553"/>
      <c r="N37" s="554"/>
      <c r="O37" s="556"/>
      <c r="P37" s="557"/>
      <c r="Q37" s="608"/>
      <c r="R37" s="403"/>
    </row>
    <row r="38" spans="1:28" ht="12.95" customHeight="1" x14ac:dyDescent="0.2">
      <c r="A38" s="20" t="s">
        <v>4</v>
      </c>
      <c r="B38" s="426" t="s">
        <v>97</v>
      </c>
      <c r="C38" s="23"/>
      <c r="D38" s="23"/>
      <c r="E38" s="459"/>
      <c r="F38" s="460"/>
      <c r="G38" s="459"/>
      <c r="H38" s="13"/>
      <c r="I38" s="459"/>
      <c r="J38" s="13"/>
      <c r="K38" s="459"/>
      <c r="L38" s="13"/>
      <c r="M38" s="459"/>
      <c r="N38" s="460"/>
      <c r="O38" s="534"/>
      <c r="P38" s="61"/>
      <c r="Q38" s="454"/>
      <c r="R38" s="403"/>
      <c r="AB38" s="405" t="str">
        <f>"To add Equipment: Copy row "&amp;ROW(B40)&amp;" and paste ('Insert Copied Rows') in empty (lower height) row beneath"</f>
        <v>To add Equipment: Copy row 40 and paste ('Insert Copied Rows') in empty (lower height) row beneath</v>
      </c>
    </row>
    <row r="39" spans="1:28" ht="12.95" customHeight="1" x14ac:dyDescent="0.2">
      <c r="A39" s="20"/>
      <c r="B39" s="330" t="s">
        <v>133</v>
      </c>
      <c r="C39" s="23"/>
      <c r="D39" s="23"/>
      <c r="E39" s="471">
        <v>0</v>
      </c>
      <c r="F39" s="472">
        <v>0</v>
      </c>
      <c r="G39" s="471">
        <v>0</v>
      </c>
      <c r="H39" s="473">
        <v>0</v>
      </c>
      <c r="I39" s="471">
        <v>0</v>
      </c>
      <c r="J39" s="473">
        <v>0</v>
      </c>
      <c r="K39" s="471">
        <v>0</v>
      </c>
      <c r="L39" s="473">
        <v>0</v>
      </c>
      <c r="M39" s="471">
        <v>0</v>
      </c>
      <c r="N39" s="472">
        <v>0</v>
      </c>
      <c r="O39" s="541">
        <f>SUMIF($E$8:$N$8,$O$8,$E39:$N39)</f>
        <v>0</v>
      </c>
      <c r="P39" s="590">
        <f>SUMIF($E$8:$N$8,$P$8,$E39:$N39)</f>
        <v>0</v>
      </c>
      <c r="Q39" s="474">
        <f>SUM(E39:N39)</f>
        <v>0</v>
      </c>
      <c r="R39" s="403"/>
    </row>
    <row r="40" spans="1:28" ht="12.95" customHeight="1" x14ac:dyDescent="0.2">
      <c r="A40" s="20"/>
      <c r="B40" s="330" t="s">
        <v>152</v>
      </c>
      <c r="C40" s="23"/>
      <c r="D40" s="23"/>
      <c r="E40" s="471">
        <v>0</v>
      </c>
      <c r="F40" s="472">
        <v>0</v>
      </c>
      <c r="G40" s="471">
        <v>0</v>
      </c>
      <c r="H40" s="473">
        <v>0</v>
      </c>
      <c r="I40" s="471">
        <v>0</v>
      </c>
      <c r="J40" s="473">
        <v>0</v>
      </c>
      <c r="K40" s="471">
        <v>0</v>
      </c>
      <c r="L40" s="473">
        <v>0</v>
      </c>
      <c r="M40" s="471">
        <v>0</v>
      </c>
      <c r="N40" s="472">
        <v>0</v>
      </c>
      <c r="O40" s="541">
        <f>SUMIF($E$8:$N$8,$O$8,$E40:$N40)</f>
        <v>0</v>
      </c>
      <c r="P40" s="590">
        <f>SUMIF($E$8:$N$8,$P$8,$E40:$N40)</f>
        <v>0</v>
      </c>
      <c r="Q40" s="474">
        <f>SUM(E40:N40)</f>
        <v>0</v>
      </c>
      <c r="R40" s="403"/>
    </row>
    <row r="41" spans="1:28" ht="9" customHeight="1" x14ac:dyDescent="0.2">
      <c r="A41" s="20"/>
      <c r="C41" s="23"/>
      <c r="D41" s="23"/>
      <c r="E41" s="475"/>
      <c r="F41" s="476"/>
      <c r="G41" s="475"/>
      <c r="H41" s="477"/>
      <c r="I41" s="475"/>
      <c r="J41" s="477"/>
      <c r="K41" s="475"/>
      <c r="L41" s="477"/>
      <c r="M41" s="475"/>
      <c r="N41" s="476"/>
      <c r="O41" s="534"/>
      <c r="P41" s="61"/>
      <c r="Q41" s="454"/>
      <c r="R41" s="403"/>
    </row>
    <row r="42" spans="1:28" ht="12.95" customHeight="1" thickBot="1" x14ac:dyDescent="0.25">
      <c r="A42" s="20"/>
      <c r="B42" s="377" t="s">
        <v>134</v>
      </c>
      <c r="C42" s="558"/>
      <c r="D42" s="301"/>
      <c r="E42" s="559">
        <f>SUM(E39:E41)</f>
        <v>0</v>
      </c>
      <c r="F42" s="560">
        <f>SUM(F39:F41)</f>
        <v>0</v>
      </c>
      <c r="G42" s="559">
        <f t="shared" ref="G42:N42" si="16">SUM(G39:G41)</f>
        <v>0</v>
      </c>
      <c r="H42" s="561">
        <f t="shared" si="16"/>
        <v>0</v>
      </c>
      <c r="I42" s="559">
        <f t="shared" si="16"/>
        <v>0</v>
      </c>
      <c r="J42" s="561">
        <f t="shared" si="16"/>
        <v>0</v>
      </c>
      <c r="K42" s="559">
        <f t="shared" si="16"/>
        <v>0</v>
      </c>
      <c r="L42" s="561">
        <f t="shared" si="16"/>
        <v>0</v>
      </c>
      <c r="M42" s="559">
        <f t="shared" si="16"/>
        <v>0</v>
      </c>
      <c r="N42" s="560">
        <f t="shared" si="16"/>
        <v>0</v>
      </c>
      <c r="O42" s="538">
        <f>SUMIF($E$8:$N$8,$O$8,$E42:$N42)</f>
        <v>0</v>
      </c>
      <c r="P42" s="577">
        <f>SUMIF($E$8:$N$8,$P$8,$E42:$N42)</f>
        <v>0</v>
      </c>
      <c r="Q42" s="464">
        <f>SUM(E42:N42)</f>
        <v>0</v>
      </c>
      <c r="R42" s="403"/>
    </row>
    <row r="43" spans="1:28" ht="4.5" customHeight="1" thickBot="1" x14ac:dyDescent="0.25">
      <c r="A43" s="549"/>
      <c r="B43" s="552"/>
      <c r="C43" s="551"/>
      <c r="D43" s="551"/>
      <c r="E43" s="562"/>
      <c r="F43" s="563"/>
      <c r="G43" s="562"/>
      <c r="H43" s="564"/>
      <c r="I43" s="562"/>
      <c r="J43" s="564"/>
      <c r="K43" s="562"/>
      <c r="L43" s="564"/>
      <c r="M43" s="562"/>
      <c r="N43" s="563"/>
      <c r="O43" s="556"/>
      <c r="P43" s="557"/>
      <c r="Q43" s="608"/>
      <c r="R43" s="403"/>
    </row>
    <row r="44" spans="1:28" ht="12.95" customHeight="1" x14ac:dyDescent="0.2">
      <c r="A44" s="20" t="s">
        <v>5</v>
      </c>
      <c r="B44" s="346" t="s">
        <v>93</v>
      </c>
      <c r="D44" s="23"/>
      <c r="E44" s="484">
        <v>0</v>
      </c>
      <c r="F44" s="485">
        <v>0</v>
      </c>
      <c r="G44" s="484">
        <f>ROUND(E44*(1+$H$2),0)</f>
        <v>0</v>
      </c>
      <c r="H44" s="486">
        <f>ROUND(F44*(1+$H$2),0)</f>
        <v>0</v>
      </c>
      <c r="I44" s="484">
        <f t="shared" ref="I44:N45" si="17">ROUND(G44*(1+$H$2),0)</f>
        <v>0</v>
      </c>
      <c r="J44" s="486">
        <f t="shared" si="17"/>
        <v>0</v>
      </c>
      <c r="K44" s="484">
        <f t="shared" si="17"/>
        <v>0</v>
      </c>
      <c r="L44" s="486">
        <f t="shared" si="17"/>
        <v>0</v>
      </c>
      <c r="M44" s="484">
        <f t="shared" si="17"/>
        <v>0</v>
      </c>
      <c r="N44" s="485">
        <f t="shared" si="17"/>
        <v>0</v>
      </c>
      <c r="O44" s="541">
        <f>SUMIF($E$8:$N$8,$O$8,$E44:$N44)</f>
        <v>0</v>
      </c>
      <c r="P44" s="590">
        <f>SUMIF($E$8:$N$8,$P$8,$E44:$N44)</f>
        <v>0</v>
      </c>
      <c r="Q44" s="454">
        <f>SUM(E44:N44)</f>
        <v>0</v>
      </c>
      <c r="R44" s="403"/>
    </row>
    <row r="45" spans="1:28" ht="12.95" customHeight="1" thickBot="1" x14ac:dyDescent="0.25">
      <c r="A45" s="20"/>
      <c r="B45" s="346" t="s">
        <v>94</v>
      </c>
      <c r="D45" s="23"/>
      <c r="E45" s="484">
        <v>0</v>
      </c>
      <c r="F45" s="485">
        <v>0</v>
      </c>
      <c r="G45" s="484">
        <f>ROUND(E45*(1+$H$2),0)</f>
        <v>0</v>
      </c>
      <c r="H45" s="486">
        <f>ROUND(F45*(1+$H$2),0)</f>
        <v>0</v>
      </c>
      <c r="I45" s="484">
        <f t="shared" si="17"/>
        <v>0</v>
      </c>
      <c r="J45" s="486">
        <f t="shared" si="17"/>
        <v>0</v>
      </c>
      <c r="K45" s="484">
        <f t="shared" si="17"/>
        <v>0</v>
      </c>
      <c r="L45" s="486">
        <f t="shared" si="17"/>
        <v>0</v>
      </c>
      <c r="M45" s="484">
        <f t="shared" si="17"/>
        <v>0</v>
      </c>
      <c r="N45" s="485">
        <f t="shared" si="17"/>
        <v>0</v>
      </c>
      <c r="O45" s="541">
        <f>SUMIF($E$8:$N$8,$O$8,$E45:$N45)</f>
        <v>0</v>
      </c>
      <c r="P45" s="590">
        <f>SUMIF($E$8:$N$8,$P$8,$E45:$N45)</f>
        <v>0</v>
      </c>
      <c r="Q45" s="454">
        <f>SUM(E45:N45)</f>
        <v>0</v>
      </c>
      <c r="R45" s="403"/>
    </row>
    <row r="46" spans="1:28" ht="4.5" customHeight="1" thickBot="1" x14ac:dyDescent="0.25">
      <c r="A46" s="549"/>
      <c r="B46" s="435"/>
      <c r="C46" s="565"/>
      <c r="D46" s="551"/>
      <c r="E46" s="566"/>
      <c r="F46" s="567"/>
      <c r="G46" s="566"/>
      <c r="H46" s="568"/>
      <c r="I46" s="566"/>
      <c r="J46" s="568"/>
      <c r="K46" s="566"/>
      <c r="L46" s="568"/>
      <c r="M46" s="566"/>
      <c r="N46" s="567"/>
      <c r="O46" s="556"/>
      <c r="P46" s="557"/>
      <c r="Q46" s="608"/>
      <c r="R46" s="403"/>
    </row>
    <row r="47" spans="1:28" ht="12.95" customHeight="1" x14ac:dyDescent="0.2">
      <c r="A47" s="20" t="s">
        <v>36</v>
      </c>
      <c r="B47" s="281" t="s">
        <v>30</v>
      </c>
      <c r="D47"/>
      <c r="E47" s="484"/>
      <c r="F47" s="497"/>
      <c r="G47" s="484"/>
      <c r="H47" s="2"/>
      <c r="I47" s="484"/>
      <c r="J47" s="2"/>
      <c r="K47" s="484"/>
      <c r="L47" s="2"/>
      <c r="M47" s="484"/>
      <c r="N47" s="497"/>
      <c r="O47" s="534"/>
      <c r="P47" s="61"/>
      <c r="Q47" s="454"/>
      <c r="R47" s="403"/>
    </row>
    <row r="48" spans="1:28" ht="12.95" customHeight="1" x14ac:dyDescent="0.2">
      <c r="A48" s="20"/>
      <c r="B48" s="281"/>
      <c r="C48" s="749" t="s">
        <v>135</v>
      </c>
      <c r="D48" s="749"/>
      <c r="E48" s="478"/>
      <c r="F48" s="479"/>
      <c r="G48" s="478"/>
      <c r="H48" s="341"/>
      <c r="I48" s="478"/>
      <c r="J48" s="341"/>
      <c r="K48" s="478"/>
      <c r="L48" s="341"/>
      <c r="M48" s="478"/>
      <c r="N48" s="479"/>
      <c r="O48" s="540" t="str">
        <f>IF(SUM(E48:M48)=0,"                     -","TOTAL: "&amp;(SUMIF($E$8:$N$8,$O$8,E48:M48)))</f>
        <v xml:space="preserve">                     -</v>
      </c>
      <c r="P48" s="591" t="str">
        <f>IF(SUM(E48:M48)=0,"                     -","TOTAL: "&amp;(SUMIF($E$8:$N$8,$P$8,E48:M48)))</f>
        <v xml:space="preserve">                     -</v>
      </c>
      <c r="Q48" s="480" t="str">
        <f>IF(SUM(E48:N48)=0,"                     -","TOTAL: "&amp;(SUM(E48:N48)))</f>
        <v xml:space="preserve">                     -</v>
      </c>
      <c r="R48" s="403"/>
    </row>
    <row r="49" spans="1:34" ht="12.95" customHeight="1" x14ac:dyDescent="0.2">
      <c r="A49" s="20"/>
      <c r="B49" s="343" t="s">
        <v>136</v>
      </c>
      <c r="D49" s="404"/>
      <c r="E49" s="481">
        <f t="shared" ref="E49:N52" si="18">$D49*E$48</f>
        <v>0</v>
      </c>
      <c r="F49" s="482">
        <f t="shared" si="18"/>
        <v>0</v>
      </c>
      <c r="G49" s="481">
        <f t="shared" si="18"/>
        <v>0</v>
      </c>
      <c r="H49" s="483">
        <f t="shared" si="18"/>
        <v>0</v>
      </c>
      <c r="I49" s="481">
        <f t="shared" si="18"/>
        <v>0</v>
      </c>
      <c r="J49" s="483">
        <f t="shared" si="18"/>
        <v>0</v>
      </c>
      <c r="K49" s="481">
        <f t="shared" si="18"/>
        <v>0</v>
      </c>
      <c r="L49" s="483">
        <f t="shared" si="18"/>
        <v>0</v>
      </c>
      <c r="M49" s="481">
        <f t="shared" si="18"/>
        <v>0</v>
      </c>
      <c r="N49" s="482">
        <f t="shared" si="18"/>
        <v>0</v>
      </c>
      <c r="O49" s="541">
        <f>SUMIF($E$8:$N$8,$O$8,$E49:$N49)</f>
        <v>0</v>
      </c>
      <c r="P49" s="590">
        <f>SUMIF($E$8:$N$8,$P$8,$E49:$N49)</f>
        <v>0</v>
      </c>
      <c r="Q49" s="474">
        <f>SUM(E49:N49)</f>
        <v>0</v>
      </c>
      <c r="R49" s="403"/>
      <c r="AD49" s="25"/>
      <c r="AE49" s="25"/>
      <c r="AF49" s="25"/>
      <c r="AG49" s="25"/>
      <c r="AH49" s="221"/>
    </row>
    <row r="50" spans="1:34" ht="12.95" customHeight="1" x14ac:dyDescent="0.2">
      <c r="A50" s="20"/>
      <c r="B50" s="343" t="s">
        <v>137</v>
      </c>
      <c r="D50" s="404"/>
      <c r="E50" s="481">
        <f t="shared" si="18"/>
        <v>0</v>
      </c>
      <c r="F50" s="482">
        <f t="shared" si="18"/>
        <v>0</v>
      </c>
      <c r="G50" s="481">
        <f t="shared" si="18"/>
        <v>0</v>
      </c>
      <c r="H50" s="483">
        <f t="shared" si="18"/>
        <v>0</v>
      </c>
      <c r="I50" s="481">
        <f t="shared" si="18"/>
        <v>0</v>
      </c>
      <c r="J50" s="483">
        <f t="shared" si="18"/>
        <v>0</v>
      </c>
      <c r="K50" s="481">
        <f t="shared" si="18"/>
        <v>0</v>
      </c>
      <c r="L50" s="483">
        <f t="shared" si="18"/>
        <v>0</v>
      </c>
      <c r="M50" s="481">
        <f t="shared" si="18"/>
        <v>0</v>
      </c>
      <c r="N50" s="482">
        <f t="shared" si="18"/>
        <v>0</v>
      </c>
      <c r="O50" s="541">
        <f>SUMIF($E$8:$N$8,$O$8,$E50:$N50)</f>
        <v>0</v>
      </c>
      <c r="P50" s="590">
        <f>SUMIF($E$8:$N$8,$P$8,$E50:$N50)</f>
        <v>0</v>
      </c>
      <c r="Q50" s="474">
        <f>SUM(E50:N50)</f>
        <v>0</v>
      </c>
      <c r="R50" s="403"/>
    </row>
    <row r="51" spans="1:34" ht="12.95" customHeight="1" x14ac:dyDescent="0.2">
      <c r="A51" s="20"/>
      <c r="B51" s="343" t="s">
        <v>138</v>
      </c>
      <c r="D51" s="404"/>
      <c r="E51" s="481">
        <f t="shared" si="18"/>
        <v>0</v>
      </c>
      <c r="F51" s="482">
        <f t="shared" si="18"/>
        <v>0</v>
      </c>
      <c r="G51" s="481">
        <f t="shared" si="18"/>
        <v>0</v>
      </c>
      <c r="H51" s="483">
        <f t="shared" si="18"/>
        <v>0</v>
      </c>
      <c r="I51" s="481">
        <f t="shared" si="18"/>
        <v>0</v>
      </c>
      <c r="J51" s="483">
        <f t="shared" si="18"/>
        <v>0</v>
      </c>
      <c r="K51" s="481">
        <f t="shared" si="18"/>
        <v>0</v>
      </c>
      <c r="L51" s="483">
        <f t="shared" si="18"/>
        <v>0</v>
      </c>
      <c r="M51" s="481">
        <f t="shared" si="18"/>
        <v>0</v>
      </c>
      <c r="N51" s="482">
        <f t="shared" si="18"/>
        <v>0</v>
      </c>
      <c r="O51" s="541">
        <f>SUMIF($E$8:$N$8,$O$8,$E51:$N51)</f>
        <v>0</v>
      </c>
      <c r="P51" s="590">
        <f>SUMIF($E$8:$N$8,$P$8,$E51:$N51)</f>
        <v>0</v>
      </c>
      <c r="Q51" s="474">
        <f>SUM(E51:N51)</f>
        <v>0</v>
      </c>
      <c r="R51" s="403"/>
    </row>
    <row r="52" spans="1:34" ht="12.95" customHeight="1" x14ac:dyDescent="0.2">
      <c r="A52" s="20"/>
      <c r="B52" s="343" t="s">
        <v>61</v>
      </c>
      <c r="D52" s="404"/>
      <c r="E52" s="481">
        <f t="shared" si="18"/>
        <v>0</v>
      </c>
      <c r="F52" s="482">
        <f t="shared" si="18"/>
        <v>0</v>
      </c>
      <c r="G52" s="481">
        <f t="shared" si="18"/>
        <v>0</v>
      </c>
      <c r="H52" s="483">
        <f t="shared" si="18"/>
        <v>0</v>
      </c>
      <c r="I52" s="481">
        <f t="shared" si="18"/>
        <v>0</v>
      </c>
      <c r="J52" s="483">
        <f t="shared" si="18"/>
        <v>0</v>
      </c>
      <c r="K52" s="481">
        <f t="shared" si="18"/>
        <v>0</v>
      </c>
      <c r="L52" s="483">
        <f t="shared" si="18"/>
        <v>0</v>
      </c>
      <c r="M52" s="481">
        <f t="shared" si="18"/>
        <v>0</v>
      </c>
      <c r="N52" s="482">
        <f t="shared" si="18"/>
        <v>0</v>
      </c>
      <c r="O52" s="541">
        <f>SUMIF($E$8:$N$8,$O$8,$E52:$N52)</f>
        <v>0</v>
      </c>
      <c r="P52" s="590">
        <f>SUMIF($E$8:$N$8,$P$8,$E52:$N52)</f>
        <v>0</v>
      </c>
      <c r="Q52" s="474">
        <f>SUM(E52:N52)</f>
        <v>0</v>
      </c>
      <c r="R52" s="403"/>
    </row>
    <row r="53" spans="1:34" ht="4.5" customHeight="1" x14ac:dyDescent="0.2">
      <c r="A53" s="20"/>
      <c r="C53" s="23"/>
      <c r="D53" s="23"/>
      <c r="E53" s="475"/>
      <c r="F53" s="476"/>
      <c r="G53" s="475"/>
      <c r="H53" s="477"/>
      <c r="I53" s="475"/>
      <c r="J53" s="477"/>
      <c r="K53" s="475"/>
      <c r="L53" s="477"/>
      <c r="M53" s="475"/>
      <c r="N53" s="476"/>
      <c r="O53" s="534"/>
      <c r="P53" s="61"/>
      <c r="Q53" s="454"/>
      <c r="R53" s="403"/>
    </row>
    <row r="54" spans="1:34" ht="12.95" customHeight="1" thickBot="1" x14ac:dyDescent="0.25">
      <c r="A54" s="20"/>
      <c r="B54" s="325" t="s">
        <v>139</v>
      </c>
      <c r="C54" s="301"/>
      <c r="D54" s="301"/>
      <c r="E54" s="559">
        <f>SUM(E49:E53)</f>
        <v>0</v>
      </c>
      <c r="F54" s="560">
        <f>SUM(F49:F53)</f>
        <v>0</v>
      </c>
      <c r="G54" s="559">
        <f t="shared" ref="G54:N54" si="19">SUM(G49:G53)</f>
        <v>0</v>
      </c>
      <c r="H54" s="561">
        <f t="shared" si="19"/>
        <v>0</v>
      </c>
      <c r="I54" s="559">
        <f t="shared" si="19"/>
        <v>0</v>
      </c>
      <c r="J54" s="561">
        <f t="shared" si="19"/>
        <v>0</v>
      </c>
      <c r="K54" s="559">
        <f t="shared" si="19"/>
        <v>0</v>
      </c>
      <c r="L54" s="561">
        <f t="shared" si="19"/>
        <v>0</v>
      </c>
      <c r="M54" s="559">
        <f t="shared" si="19"/>
        <v>0</v>
      </c>
      <c r="N54" s="560">
        <f t="shared" si="19"/>
        <v>0</v>
      </c>
      <c r="O54" s="538">
        <f>SUMIF($E$8:$N$8,$O$8,$E54:$N54)</f>
        <v>0</v>
      </c>
      <c r="P54" s="577">
        <f>SUMIF($E$8:$N$8,$P$8,$E54:$N54)</f>
        <v>0</v>
      </c>
      <c r="Q54" s="464">
        <f>SUM(E54:N54)</f>
        <v>0</v>
      </c>
      <c r="R54" s="403"/>
    </row>
    <row r="55" spans="1:34" ht="4.5" customHeight="1" thickBot="1" x14ac:dyDescent="0.25">
      <c r="A55" s="549"/>
      <c r="B55" s="552"/>
      <c r="C55" s="551"/>
      <c r="D55" s="551"/>
      <c r="E55" s="553"/>
      <c r="F55" s="554"/>
      <c r="G55" s="553"/>
      <c r="H55" s="555"/>
      <c r="I55" s="553"/>
      <c r="J55" s="555"/>
      <c r="K55" s="553"/>
      <c r="L55" s="555"/>
      <c r="M55" s="553"/>
      <c r="N55" s="554"/>
      <c r="O55" s="556"/>
      <c r="P55" s="557"/>
      <c r="Q55" s="608"/>
      <c r="R55" s="403"/>
    </row>
    <row r="56" spans="1:34" ht="12.95" customHeight="1" x14ac:dyDescent="0.2">
      <c r="A56" s="20" t="s">
        <v>37</v>
      </c>
      <c r="B56" s="569" t="s">
        <v>85</v>
      </c>
      <c r="C56" s="23"/>
      <c r="D56" s="23"/>
      <c r="E56" s="459"/>
      <c r="F56" s="460"/>
      <c r="G56" s="459"/>
      <c r="H56" s="13"/>
      <c r="I56" s="459"/>
      <c r="J56" s="13"/>
      <c r="K56" s="459"/>
      <c r="L56" s="13"/>
      <c r="M56" s="459"/>
      <c r="N56" s="460"/>
      <c r="O56" s="534"/>
      <c r="P56" s="61"/>
      <c r="Q56" s="454"/>
      <c r="R56" s="403"/>
    </row>
    <row r="57" spans="1:34" ht="12.95" customHeight="1" x14ac:dyDescent="0.2">
      <c r="A57" s="66"/>
      <c r="B57" s="346" t="s">
        <v>12</v>
      </c>
      <c r="C57" s="23"/>
      <c r="D57" s="23"/>
      <c r="E57" s="484">
        <v>0</v>
      </c>
      <c r="F57" s="485">
        <v>0</v>
      </c>
      <c r="G57" s="484">
        <f t="shared" ref="G57:N61" si="20">ROUND(E57*(1+$H$2),0)</f>
        <v>0</v>
      </c>
      <c r="H57" s="486">
        <f t="shared" si="20"/>
        <v>0</v>
      </c>
      <c r="I57" s="484">
        <f t="shared" si="20"/>
        <v>0</v>
      </c>
      <c r="J57" s="486">
        <f t="shared" si="20"/>
        <v>0</v>
      </c>
      <c r="K57" s="484">
        <f t="shared" si="20"/>
        <v>0</v>
      </c>
      <c r="L57" s="486">
        <f t="shared" si="20"/>
        <v>0</v>
      </c>
      <c r="M57" s="484">
        <f t="shared" si="20"/>
        <v>0</v>
      </c>
      <c r="N57" s="485">
        <f t="shared" si="20"/>
        <v>0</v>
      </c>
      <c r="O57" s="534">
        <f t="shared" ref="O57:O67" si="21">SUMIF($E$8:$N$8,$O$8,$E57:$N57)</f>
        <v>0</v>
      </c>
      <c r="P57" s="61">
        <f t="shared" ref="P57:P67" si="22">SUMIF($E$8:$N$8,$P$8,$E57:$N57)</f>
        <v>0</v>
      </c>
      <c r="Q57" s="454">
        <f t="shared" ref="Q57:Q67" si="23">SUM(E57:N57)</f>
        <v>0</v>
      </c>
      <c r="R57" s="403"/>
    </row>
    <row r="58" spans="1:34" ht="12.95" customHeight="1" x14ac:dyDescent="0.2">
      <c r="A58" s="20"/>
      <c r="B58" s="346" t="s">
        <v>103</v>
      </c>
      <c r="C58" s="23"/>
      <c r="D58" s="23"/>
      <c r="E58" s="484">
        <v>0</v>
      </c>
      <c r="F58" s="485">
        <v>0</v>
      </c>
      <c r="G58" s="484">
        <f t="shared" si="20"/>
        <v>0</v>
      </c>
      <c r="H58" s="486">
        <f t="shared" si="20"/>
        <v>0</v>
      </c>
      <c r="I58" s="484">
        <f t="shared" si="20"/>
        <v>0</v>
      </c>
      <c r="J58" s="486">
        <f t="shared" si="20"/>
        <v>0</v>
      </c>
      <c r="K58" s="484">
        <f t="shared" si="20"/>
        <v>0</v>
      </c>
      <c r="L58" s="486">
        <f t="shared" si="20"/>
        <v>0</v>
      </c>
      <c r="M58" s="484">
        <f t="shared" si="20"/>
        <v>0</v>
      </c>
      <c r="N58" s="485">
        <f t="shared" si="20"/>
        <v>0</v>
      </c>
      <c r="O58" s="534">
        <f t="shared" si="21"/>
        <v>0</v>
      </c>
      <c r="P58" s="61">
        <f t="shared" si="22"/>
        <v>0</v>
      </c>
      <c r="Q58" s="454">
        <f t="shared" si="23"/>
        <v>0</v>
      </c>
      <c r="R58" s="403"/>
    </row>
    <row r="59" spans="1:34" ht="12.95" customHeight="1" x14ac:dyDescent="0.2">
      <c r="A59" s="20"/>
      <c r="B59" s="346" t="s">
        <v>102</v>
      </c>
      <c r="C59" s="23"/>
      <c r="D59" s="23"/>
      <c r="E59" s="484">
        <v>0</v>
      </c>
      <c r="F59" s="485">
        <v>0</v>
      </c>
      <c r="G59" s="484">
        <f t="shared" si="20"/>
        <v>0</v>
      </c>
      <c r="H59" s="486">
        <f t="shared" si="20"/>
        <v>0</v>
      </c>
      <c r="I59" s="484">
        <f t="shared" si="20"/>
        <v>0</v>
      </c>
      <c r="J59" s="486">
        <f t="shared" si="20"/>
        <v>0</v>
      </c>
      <c r="K59" s="484">
        <f t="shared" si="20"/>
        <v>0</v>
      </c>
      <c r="L59" s="486">
        <f t="shared" si="20"/>
        <v>0</v>
      </c>
      <c r="M59" s="484">
        <f t="shared" si="20"/>
        <v>0</v>
      </c>
      <c r="N59" s="485">
        <f t="shared" si="20"/>
        <v>0</v>
      </c>
      <c r="O59" s="534">
        <f t="shared" si="21"/>
        <v>0</v>
      </c>
      <c r="P59" s="61">
        <f t="shared" si="22"/>
        <v>0</v>
      </c>
      <c r="Q59" s="454">
        <f t="shared" si="23"/>
        <v>0</v>
      </c>
      <c r="R59" s="403"/>
    </row>
    <row r="60" spans="1:34" ht="12.95" customHeight="1" x14ac:dyDescent="0.2">
      <c r="A60" s="20"/>
      <c r="B60" s="346" t="s">
        <v>82</v>
      </c>
      <c r="C60" s="23"/>
      <c r="D60" s="23"/>
      <c r="E60" s="484">
        <v>0</v>
      </c>
      <c r="F60" s="485">
        <v>0</v>
      </c>
      <c r="G60" s="484">
        <f t="shared" si="20"/>
        <v>0</v>
      </c>
      <c r="H60" s="486">
        <f t="shared" si="20"/>
        <v>0</v>
      </c>
      <c r="I60" s="484">
        <f t="shared" si="20"/>
        <v>0</v>
      </c>
      <c r="J60" s="486">
        <f t="shared" si="20"/>
        <v>0</v>
      </c>
      <c r="K60" s="484">
        <f t="shared" si="20"/>
        <v>0</v>
      </c>
      <c r="L60" s="486">
        <f t="shared" si="20"/>
        <v>0</v>
      </c>
      <c r="M60" s="484">
        <f t="shared" si="20"/>
        <v>0</v>
      </c>
      <c r="N60" s="485">
        <f t="shared" si="20"/>
        <v>0</v>
      </c>
      <c r="O60" s="534">
        <f t="shared" si="21"/>
        <v>0</v>
      </c>
      <c r="P60" s="61">
        <f t="shared" si="22"/>
        <v>0</v>
      </c>
      <c r="Q60" s="454">
        <f t="shared" si="23"/>
        <v>0</v>
      </c>
      <c r="R60" s="403"/>
    </row>
    <row r="61" spans="1:34" ht="12.95" customHeight="1" x14ac:dyDescent="0.2">
      <c r="A61" s="20"/>
      <c r="B61" s="347" t="s">
        <v>175</v>
      </c>
      <c r="C61" s="23"/>
      <c r="D61" s="23"/>
      <c r="E61" s="481">
        <v>0</v>
      </c>
      <c r="F61" s="482">
        <v>0</v>
      </c>
      <c r="G61" s="481">
        <f t="shared" si="20"/>
        <v>0</v>
      </c>
      <c r="H61" s="483">
        <f t="shared" si="20"/>
        <v>0</v>
      </c>
      <c r="I61" s="481">
        <f t="shared" si="20"/>
        <v>0</v>
      </c>
      <c r="J61" s="483">
        <f t="shared" si="20"/>
        <v>0</v>
      </c>
      <c r="K61" s="481">
        <f t="shared" si="20"/>
        <v>0</v>
      </c>
      <c r="L61" s="483">
        <f t="shared" si="20"/>
        <v>0</v>
      </c>
      <c r="M61" s="481">
        <f t="shared" si="20"/>
        <v>0</v>
      </c>
      <c r="N61" s="482">
        <f t="shared" si="20"/>
        <v>0</v>
      </c>
      <c r="O61" s="534">
        <f t="shared" si="21"/>
        <v>0</v>
      </c>
      <c r="P61" s="61">
        <f t="shared" si="22"/>
        <v>0</v>
      </c>
      <c r="Q61" s="454">
        <f t="shared" si="23"/>
        <v>0</v>
      </c>
      <c r="R61" s="403"/>
    </row>
    <row r="62" spans="1:34" ht="12.95" customHeight="1" x14ac:dyDescent="0.2">
      <c r="A62" s="20"/>
      <c r="B62" s="346" t="s">
        <v>153</v>
      </c>
      <c r="C62" s="743" t="s">
        <v>173</v>
      </c>
      <c r="D62" s="743"/>
      <c r="E62" s="487">
        <v>0</v>
      </c>
      <c r="F62" s="482">
        <v>0</v>
      </c>
      <c r="G62" s="487">
        <v>0</v>
      </c>
      <c r="H62" s="483">
        <v>0</v>
      </c>
      <c r="I62" s="487">
        <v>0</v>
      </c>
      <c r="J62" s="483">
        <v>0</v>
      </c>
      <c r="K62" s="487">
        <v>0</v>
      </c>
      <c r="L62" s="483">
        <v>0</v>
      </c>
      <c r="M62" s="487">
        <v>0</v>
      </c>
      <c r="N62" s="482">
        <v>0</v>
      </c>
      <c r="O62" s="534">
        <f t="shared" si="21"/>
        <v>0</v>
      </c>
      <c r="P62" s="61">
        <f t="shared" si="22"/>
        <v>0</v>
      </c>
      <c r="Q62" s="454">
        <f t="shared" si="23"/>
        <v>0</v>
      </c>
      <c r="R62" s="403"/>
      <c r="AB62" s="405"/>
    </row>
    <row r="63" spans="1:34" ht="12.95" customHeight="1" x14ac:dyDescent="0.2">
      <c r="A63" s="20"/>
      <c r="B63" s="349" t="s">
        <v>141</v>
      </c>
      <c r="C63" s="350"/>
      <c r="D63" s="351"/>
      <c r="E63" s="488">
        <f ca="1">IF(ISNUMBER(OFFSET(E62,0,-1))=TRUE,IF(SUM($E62:E62)&gt;50000,50000-SUM($E63:OFFSET(E63,0,-1)),E62),IF($E62&gt;50000,50000,E62))</f>
        <v>0</v>
      </c>
      <c r="F63" s="489">
        <f ca="1">IF(ISNUMBER(OFFSET(F62,0,-2))=TRUE,IF(SUMIF($F62:F62,F$8)&gt;50000,50000-SUM($F63:OFFSET(F63,0,-2)),F62),IF($F62&gt;50000,50000,F62))</f>
        <v>0</v>
      </c>
      <c r="G63" s="488">
        <f ca="1">IF(ISNUMBER(OFFSET(G62,0,-1))=TRUE,IF(SUM($E62:G62)&gt;50000,50000-SUM($E63:OFFSET(G63,0,-1)),G62),IF($E62&gt;50000,50000,G62))</f>
        <v>0</v>
      </c>
      <c r="H63" s="489">
        <f ca="1">IF(ISNUMBER(OFFSET(H62,0,-2))=TRUE,IF(SUMIF($F62:H62,H$8)&gt;50000,50000-SUM($F63:OFFSET(H63,0,-2)),H62),IF($F62&gt;50000,50000,H62))</f>
        <v>0</v>
      </c>
      <c r="I63" s="488">
        <f ca="1">IF(ISNUMBER(OFFSET(I62,0,-1))=TRUE,IF(SUM($E62:I62)&gt;50000,50000-SUM($E63:OFFSET(I63,0,-1)),I62),IF($E62&gt;50000,50000,I62))</f>
        <v>0</v>
      </c>
      <c r="J63" s="489">
        <f ca="1">IF(ISNUMBER(OFFSET(J62,0,-2))=TRUE,IF(SUMIF($F62:J62,J$8)&gt;50000,50000-SUM($F63:OFFSET(J63,0,-2)),J62),IF($F62&gt;50000,50000,J62))</f>
        <v>0</v>
      </c>
      <c r="K63" s="488">
        <f ca="1">IF(ISNUMBER(OFFSET(K62,0,-1))=TRUE,IF(SUM($E62:K62)&gt;50000,50000-SUM($E63:OFFSET(K63,0,-1)),K62),IF($E62&gt;50000,50000,K62))</f>
        <v>0</v>
      </c>
      <c r="L63" s="489">
        <f ca="1">IF(ISNUMBER(OFFSET(L62,0,-2))=TRUE,IF(SUMIF($F62:L62,L$8)&gt;50000,50000-SUM($F63:OFFSET(L63,0,-2)),L62),IF($F62&gt;50000,50000,L62))</f>
        <v>0</v>
      </c>
      <c r="M63" s="488">
        <f ca="1">IF(ISNUMBER(OFFSET(M62,0,-1))=TRUE,IF(SUM($E62:M62)&gt;50000,50000-SUM($E63:OFFSET(M63,0,-1)),M62),IF($E62&gt;50000,50000,M62))</f>
        <v>0</v>
      </c>
      <c r="N63" s="489">
        <f ca="1">IF(ISNUMBER(OFFSET(N62,0,-2))=TRUE,IF(SUMIF($F62:N62,N$8)&gt;50000,50000-SUM($F63:OFFSET(N63,0,-2)),N62),IF($F62&gt;50000,50000,N62))</f>
        <v>0</v>
      </c>
      <c r="O63" s="530">
        <f t="shared" ca="1" si="21"/>
        <v>0</v>
      </c>
      <c r="P63" s="592">
        <f t="shared" ca="1" si="22"/>
        <v>0</v>
      </c>
      <c r="Q63" s="490">
        <f t="shared" ca="1" si="23"/>
        <v>0</v>
      </c>
      <c r="R63" s="403"/>
    </row>
    <row r="64" spans="1:34" ht="12.95" customHeight="1" x14ac:dyDescent="0.2">
      <c r="A64" s="20"/>
      <c r="B64" s="349" t="s">
        <v>187</v>
      </c>
      <c r="C64" s="351"/>
      <c r="D64" s="351"/>
      <c r="E64" s="642">
        <f ca="1">IF(ISNUMBER(OFFSET(E62,0,-1))=TRUE,IF(SUM($E62:E62)&gt;50000,SUM($E62:E62)-50000-SUM($E64:OFFSET(E64,0,-1)),0),IF($E62&gt;50000,$E62-50000,0))</f>
        <v>0</v>
      </c>
      <c r="F64" s="489">
        <f ca="1">IF(ISNUMBER(OFFSET(F62,0,-2))=TRUE,IF(SUMIF($F62:F62,F$8)&gt;50000,SUM($F62:F62)-50000-SUM($F64:OFFSET(F64,0,-2)),0),IF($F62&gt;50000,$F62-50000,0))</f>
        <v>0</v>
      </c>
      <c r="G64" s="642">
        <f ca="1">IF(ISNUMBER(OFFSET(G62,0,-1))=TRUE,IF(SUM($E62:G62)&gt;50000,SUM($E62:G62)-50000-SUM($E64:OFFSET(G64,0,-1)),0),IF($E62&gt;50000,$E62-50000,0))</f>
        <v>0</v>
      </c>
      <c r="H64" s="489">
        <f ca="1">IF(ISNUMBER(OFFSET(H62,0,-2))=TRUE,IF(SUMIF($F62:H62,H$8)&gt;50000,SUM($F62:H62)-50000-SUM($F64:OFFSET(H64,0,-2)),0),IF($F62&gt;50000,$F62-50000,0))</f>
        <v>0</v>
      </c>
      <c r="I64" s="642">
        <f ca="1">IF(ISNUMBER(OFFSET(I62,0,-1))=TRUE,IF(SUM($E62:I62)&gt;50000,SUM($E62:I62)-50000-SUM($E64:OFFSET(I64,0,-1)),0),IF($E62&gt;50000,$E62-50000,0))</f>
        <v>0</v>
      </c>
      <c r="J64" s="489">
        <f ca="1">IF(ISNUMBER(OFFSET(J62,0,-2))=TRUE,IF(SUMIF($F62:J62,J$8)&gt;50000,SUM($F62:J62)-50000-SUM($F64:OFFSET(J64,0,-2)),0),IF($F62&gt;50000,$F62-50000,0))</f>
        <v>0</v>
      </c>
      <c r="K64" s="642">
        <f ca="1">IF(ISNUMBER(OFFSET(K62,0,-1))=TRUE,IF(SUM($E62:K62)&gt;50000,SUM($E62:K62)-50000-SUM($E64:OFFSET(K64,0,-1)),0),IF($E62&gt;50000,$E62-50000,0))</f>
        <v>0</v>
      </c>
      <c r="L64" s="489">
        <f ca="1">IF(ISNUMBER(OFFSET(L62,0,-2))=TRUE,IF(SUMIF($F62:L62,L$8)&gt;50000,SUM($F62:L62)-50000-SUM($F64:OFFSET(L64,0,-2)),0),IF($F62&gt;50000,$F62-50000,0))</f>
        <v>0</v>
      </c>
      <c r="M64" s="642">
        <f ca="1">IF(ISNUMBER(OFFSET(M62,0,-1))=TRUE,IF(SUM($E62:M62)&gt;50000,SUM($E62:M62)-50000-SUM($E64:OFFSET(M64,0,-1)),0),IF($E62&gt;50000,$E62-50000,0))</f>
        <v>0</v>
      </c>
      <c r="N64" s="489">
        <f ca="1">IF(ISNUMBER(OFFSET(N62,0,-2))=TRUE,IF(SUMIF($F62:N62,N$8)&gt;50000,SUM($F62:N62)-50000-SUM($F64:OFFSET(N64,0,-2)),0),IF($F62&gt;50000,$F62-50000,0))</f>
        <v>0</v>
      </c>
      <c r="O64" s="530">
        <f t="shared" ca="1" si="21"/>
        <v>0</v>
      </c>
      <c r="P64" s="592">
        <f t="shared" ca="1" si="22"/>
        <v>0</v>
      </c>
      <c r="Q64" s="490">
        <f t="shared" ca="1" si="23"/>
        <v>0</v>
      </c>
      <c r="R64" s="403"/>
    </row>
    <row r="65" spans="1:28" ht="12.95" customHeight="1" x14ac:dyDescent="0.2">
      <c r="A65" s="20"/>
      <c r="B65" s="346" t="s">
        <v>153</v>
      </c>
      <c r="C65" s="743" t="s">
        <v>174</v>
      </c>
      <c r="D65" s="743"/>
      <c r="E65" s="487">
        <v>0</v>
      </c>
      <c r="F65" s="482">
        <v>0</v>
      </c>
      <c r="G65" s="487">
        <v>0</v>
      </c>
      <c r="H65" s="483">
        <v>0</v>
      </c>
      <c r="I65" s="487">
        <v>0</v>
      </c>
      <c r="J65" s="483">
        <v>0</v>
      </c>
      <c r="K65" s="487">
        <v>0</v>
      </c>
      <c r="L65" s="483">
        <v>0</v>
      </c>
      <c r="M65" s="487">
        <v>0</v>
      </c>
      <c r="N65" s="482">
        <v>0</v>
      </c>
      <c r="O65" s="534">
        <f t="shared" si="21"/>
        <v>0</v>
      </c>
      <c r="P65" s="61">
        <f t="shared" si="22"/>
        <v>0</v>
      </c>
      <c r="Q65" s="454">
        <f t="shared" si="23"/>
        <v>0</v>
      </c>
      <c r="R65" s="403"/>
      <c r="AB65" s="405" t="str">
        <f>"To add another Sub: Copy rows "&amp;ROW(B65)&amp;"-"&amp;ROW(B67)&amp;" and paste ('Insert Copied Rows') in empty (lower height) row beneath"</f>
        <v>To add another Sub: Copy rows 65-67 and paste ('Insert Copied Rows') in empty (lower height) row beneath</v>
      </c>
    </row>
    <row r="66" spans="1:28" ht="12.95" customHeight="1" x14ac:dyDescent="0.2">
      <c r="A66" s="20"/>
      <c r="B66" s="349" t="s">
        <v>141</v>
      </c>
      <c r="C66" s="350"/>
      <c r="D66" s="351"/>
      <c r="E66" s="488">
        <f ca="1">IF(ISNUMBER(OFFSET(E65,0,-1))=TRUE,IF(SUM($E65:E65)&gt;50000,50000-SUM($E66:OFFSET(E66,0,-1)),E65),IF($E65&gt;50000,50000,E65))</f>
        <v>0</v>
      </c>
      <c r="F66" s="489">
        <f ca="1">IF(ISNUMBER(OFFSET(F65,0,-1))=TRUE,IF(SUMIF($F65:F65,$F$8)&gt;50000,50000-SUM($F66:OFFSET(F66,0,-1)),F65),IF($F65&gt;50000,50000,F65))</f>
        <v>0</v>
      </c>
      <c r="G66" s="488">
        <f ca="1">IF(ISNUMBER(OFFSET(G65,0,-1))=TRUE,IF(SUM($E65:G65)&gt;50000,50000-SUM($E66:OFFSET(G66,0,-1)),G65),IF($E65&gt;50000,50000,G65))</f>
        <v>0</v>
      </c>
      <c r="H66" s="489">
        <f ca="1">IF(ISNUMBER(OFFSET(H65,0,-1))=TRUE,IF(SUMIF($F65:H65,$F$8)&gt;50000,50000-SUM($F66:OFFSET(H66,0,-1)),H65),IF($F65&gt;50000,50000,H65))</f>
        <v>0</v>
      </c>
      <c r="I66" s="488">
        <f ca="1">IF(ISNUMBER(OFFSET(I65,0,-1))=TRUE,IF(SUM($E65:I65)&gt;50000,50000-SUM($E66:OFFSET(I66,0,-1)),I65),IF($E65&gt;50000,50000,I65))</f>
        <v>0</v>
      </c>
      <c r="J66" s="489">
        <f ca="1">IF(ISNUMBER(OFFSET(J65,0,-1))=TRUE,IF(SUMIF($F65:J65,$F$8)&gt;50000,50000-SUM($F66:OFFSET(J66,0,-1)),J65),IF($F65&gt;50000,50000,J65))</f>
        <v>0</v>
      </c>
      <c r="K66" s="488">
        <f ca="1">IF(ISNUMBER(OFFSET(K65,0,-1))=TRUE,IF(SUM($E65:K65)&gt;50000,50000-SUM($E66:OFFSET(K66,0,-1)),K65),IF($E65&gt;50000,50000,K65))</f>
        <v>0</v>
      </c>
      <c r="L66" s="489">
        <f ca="1">IF(ISNUMBER(OFFSET(L65,0,-1))=TRUE,IF(SUMIF($F65:L65,$F$8)&gt;50000,50000-SUM($F66:OFFSET(L66,0,-1)),L65),IF($F65&gt;50000,50000,L65))</f>
        <v>0</v>
      </c>
      <c r="M66" s="488">
        <f ca="1">IF(ISNUMBER(OFFSET(M65,0,-1))=TRUE,IF(SUM($E65:M65)&gt;50000,50000-SUM($E66:OFFSET(M66,0,-1)),M65),IF($E65&gt;50000,50000,M65))</f>
        <v>0</v>
      </c>
      <c r="N66" s="489">
        <f ca="1">IF(ISNUMBER(OFFSET(N65,0,-1))=TRUE,IF(SUMIF($F65:N65,$F$8)&gt;50000,50000-SUM($F66:OFFSET(N66,0,-1)),N65),IF($F65&gt;50000,50000,N65))</f>
        <v>0</v>
      </c>
      <c r="O66" s="530">
        <f t="shared" ca="1" si="21"/>
        <v>0</v>
      </c>
      <c r="P66" s="592">
        <f t="shared" ca="1" si="22"/>
        <v>0</v>
      </c>
      <c r="Q66" s="490">
        <f t="shared" ca="1" si="23"/>
        <v>0</v>
      </c>
      <c r="R66" s="403"/>
    </row>
    <row r="67" spans="1:28" ht="12.95" customHeight="1" x14ac:dyDescent="0.2">
      <c r="A67" s="20"/>
      <c r="B67" s="349" t="s">
        <v>187</v>
      </c>
      <c r="C67" s="351"/>
      <c r="D67" s="351"/>
      <c r="E67" s="642">
        <f ca="1">IF(ISNUMBER(OFFSET(E65,0,-1))=TRUE,IF(SUM($E65:E65)&gt;50000,SUM($E65:E65)-50000-SUM($E67:OFFSET(E67,0,-1)),0),IF($E65&gt;50000,$E65-50000,0))</f>
        <v>0</v>
      </c>
      <c r="F67" s="489">
        <f ca="1">IF(ISNUMBER(OFFSET(F65,0,-1))=TRUE,IF(SUMIF($F65:F65,$F$8)&gt;50000,SUM($F65:F65)-50000-SUM($F67:OFFSET(F67,0,-1)),0),IF($F65&gt;50000,$F65-50000,0))</f>
        <v>0</v>
      </c>
      <c r="G67" s="642">
        <f ca="1">IF(ISNUMBER(OFFSET(G65,0,-1))=TRUE,IF(SUM($E65:G65)&gt;50000,SUM($E65:G65)-50000-SUM($E67:OFFSET(G67,0,-1)),0),IF($E65&gt;50000,$E65-50000,0))</f>
        <v>0</v>
      </c>
      <c r="H67" s="489">
        <f ca="1">IF(ISNUMBER(OFFSET(H65,0,-1))=TRUE,IF(SUMIF($F65:H65,$F$8)&gt;50000,SUM($F65:H65)-50000-SUM($F67:OFFSET(H67,0,-1)),0),IF($F65&gt;50000,$F65-50000,0))</f>
        <v>0</v>
      </c>
      <c r="I67" s="642">
        <f ca="1">IF(ISNUMBER(OFFSET(I65,0,-1))=TRUE,IF(SUM($E65:I65)&gt;50000,SUM($E65:I65)-50000-SUM($E67:OFFSET(I67,0,-1)),0),IF($E65&gt;50000,$E65-50000,0))</f>
        <v>0</v>
      </c>
      <c r="J67" s="489">
        <f ca="1">IF(ISNUMBER(OFFSET(J65,0,-1))=TRUE,IF(SUMIF($F65:J65,$F$8)&gt;50000,SUM($F65:J65)-50000-SUM($F67:OFFSET(J67,0,-1)),0),IF($F65&gt;50000,$F65-50000,0))</f>
        <v>0</v>
      </c>
      <c r="K67" s="642">
        <f ca="1">IF(ISNUMBER(OFFSET(K65,0,-1))=TRUE,IF(SUM($E65:K65)&gt;50000,SUM($E65:K65)-50000-SUM($E67:OFFSET(K67,0,-1)),0),IF($E65&gt;50000,$E65-50000,0))</f>
        <v>0</v>
      </c>
      <c r="L67" s="489">
        <f ca="1">IF(ISNUMBER(OFFSET(L65,0,-1))=TRUE,IF(SUMIF($F65:L65,$F$8)&gt;50000,SUM($F65:L65)-50000-SUM($F67:OFFSET(L67,0,-1)),0),IF($F65&gt;50000,$F65-50000,0))</f>
        <v>0</v>
      </c>
      <c r="M67" s="642">
        <f ca="1">IF(ISNUMBER(OFFSET(M65,0,-1))=TRUE,IF(SUM($E65:M65)&gt;50000,SUM($E65:M65)-50000-SUM($E67:OFFSET(M67,0,-1)),0),IF($E65&gt;50000,$E65-50000,0))</f>
        <v>0</v>
      </c>
      <c r="N67" s="489">
        <f ca="1">IF(ISNUMBER(OFFSET(N65,0,-1))=TRUE,IF(SUMIF($F65:N65,$F$8)&gt;50000,SUM($F65:N65)-50000-SUM($F67:OFFSET(N67,0,-1)),0),IF($F65&gt;50000,$F65-50000,0))</f>
        <v>0</v>
      </c>
      <c r="O67" s="530">
        <f t="shared" ca="1" si="21"/>
        <v>0</v>
      </c>
      <c r="P67" s="592">
        <f t="shared" ca="1" si="22"/>
        <v>0</v>
      </c>
      <c r="Q67" s="490">
        <f t="shared" ca="1" si="23"/>
        <v>0</v>
      </c>
      <c r="R67" s="403"/>
    </row>
    <row r="68" spans="1:28" ht="6.75" customHeight="1" x14ac:dyDescent="0.2">
      <c r="A68" s="20"/>
      <c r="B68" s="355"/>
      <c r="C68" s="42"/>
      <c r="D68" s="42"/>
      <c r="E68" s="491"/>
      <c r="F68" s="492"/>
      <c r="G68" s="491"/>
      <c r="H68" s="356"/>
      <c r="I68" s="491"/>
      <c r="J68" s="356"/>
      <c r="K68" s="491"/>
      <c r="L68" s="356"/>
      <c r="M68" s="491"/>
      <c r="N68" s="492"/>
      <c r="O68" s="537"/>
      <c r="P68" s="593"/>
      <c r="Q68" s="493"/>
    </row>
    <row r="69" spans="1:28" x14ac:dyDescent="0.2">
      <c r="A69" s="20"/>
      <c r="B69" s="346" t="str">
        <f>IF($C$7=$AT$1,"Cost Share from Third Parties:","")</f>
        <v>Cost Share from Third Parties:</v>
      </c>
      <c r="C69"/>
      <c r="D69"/>
      <c r="E69" s="494"/>
      <c r="F69" s="495"/>
      <c r="G69" s="494"/>
      <c r="H69"/>
      <c r="I69" s="494"/>
      <c r="J69"/>
      <c r="K69" s="494"/>
      <c r="M69" s="494"/>
      <c r="N69" s="495"/>
      <c r="O69" s="534"/>
      <c r="P69" s="61"/>
      <c r="Q69" s="454"/>
      <c r="R69" s="403" t="str">
        <f>IF(AND($C$7=$AT$1,P73&gt;0),"Third Party Cost Share:","")</f>
        <v/>
      </c>
    </row>
    <row r="70" spans="1:28" x14ac:dyDescent="0.2">
      <c r="A70" s="20"/>
      <c r="B70" s="776" t="str">
        <f>IF($C$7=$AT$1,"Org Name 1","")</f>
        <v>Org Name 1</v>
      </c>
      <c r="C70" s="776"/>
      <c r="D70" s="615"/>
      <c r="E70" s="616"/>
      <c r="F70" s="617">
        <v>0</v>
      </c>
      <c r="G70" s="616"/>
      <c r="H70" s="618">
        <f>IF($C$7=$AT$1,0,"")</f>
        <v>0</v>
      </c>
      <c r="I70" s="616"/>
      <c r="J70" s="618">
        <f>IF($C$7=$AT$1,0,"")</f>
        <v>0</v>
      </c>
      <c r="K70" s="616"/>
      <c r="L70" s="618">
        <f>IF($C$7=$AT$1,0,"")</f>
        <v>0</v>
      </c>
      <c r="M70" s="616"/>
      <c r="N70" s="617">
        <f>IF($C$7=$AT$1,0,"")</f>
        <v>0</v>
      </c>
      <c r="O70" s="541"/>
      <c r="P70" s="590">
        <f>IF($C$7=$AT$1,SUMIF($E$8:$N$8,$P$8,$E70:$N70),"")</f>
        <v>0</v>
      </c>
      <c r="Q70" s="474">
        <f>IF($C$7=$AT$1,SUM(E70:N70),"")</f>
        <v>0</v>
      </c>
      <c r="R70" s="622" t="str">
        <f>IF(AND($C$7=$AT$1,P70&gt;0),B70&amp;": "&amp;DOLLAR(P70,0),"")</f>
        <v/>
      </c>
    </row>
    <row r="71" spans="1:28" x14ac:dyDescent="0.2">
      <c r="A71" s="20"/>
      <c r="B71" s="776" t="str">
        <f>IF($C$7=$AT$1,"Org Name 2","")</f>
        <v>Org Name 2</v>
      </c>
      <c r="C71" s="776"/>
      <c r="D71" s="615"/>
      <c r="E71" s="616"/>
      <c r="F71" s="617">
        <f>IF($C$7=$AT$1,0,"")</f>
        <v>0</v>
      </c>
      <c r="G71" s="616"/>
      <c r="H71" s="618">
        <f>IF($C$7=$AT$1,0,"")</f>
        <v>0</v>
      </c>
      <c r="I71" s="616"/>
      <c r="J71" s="618">
        <f>IF($C$7=$AT$1,0,"")</f>
        <v>0</v>
      </c>
      <c r="K71" s="616"/>
      <c r="L71" s="618">
        <f>IF($C$7=$AT$1,0,"")</f>
        <v>0</v>
      </c>
      <c r="M71" s="616"/>
      <c r="N71" s="617">
        <f>IF($C$7=$AT$1,0,"")</f>
        <v>0</v>
      </c>
      <c r="O71" s="541"/>
      <c r="P71" s="590">
        <f>IF($C$7=$AT$1,SUMIF($E$8:$N$8,$P$8,$E71:$N71),"")</f>
        <v>0</v>
      </c>
      <c r="Q71" s="474">
        <f>IF($C$7=$AT$1,SUM(E71:N71),"")</f>
        <v>0</v>
      </c>
      <c r="R71" s="622" t="str">
        <f>IF(AND($C$7=$AT$1,P71&gt;0),B71&amp;": "&amp;DOLLAR(P71,0),"")</f>
        <v/>
      </c>
      <c r="S71" s="621"/>
    </row>
    <row r="72" spans="1:28" ht="6.75" customHeight="1" x14ac:dyDescent="0.2">
      <c r="A72" s="20"/>
      <c r="B72" s="201"/>
      <c r="C72" s="201"/>
      <c r="D72" s="42"/>
      <c r="E72" s="494"/>
      <c r="F72" s="496"/>
      <c r="G72" s="494"/>
      <c r="H72" s="230"/>
      <c r="I72" s="494"/>
      <c r="J72" s="230"/>
      <c r="K72" s="494"/>
      <c r="L72" s="230"/>
      <c r="M72" s="494"/>
      <c r="N72" s="496"/>
      <c r="O72" s="534"/>
      <c r="P72" s="61"/>
      <c r="Q72" s="454"/>
      <c r="R72" s="622" t="str">
        <f>IF(AND($C$7=$AT$1,P72&gt;0),B71&amp;": "&amp;DOLLAR(P72,0),"")</f>
        <v/>
      </c>
    </row>
    <row r="73" spans="1:28" x14ac:dyDescent="0.2">
      <c r="A73" s="20"/>
      <c r="B73" s="281" t="str">
        <f>IF($C$7=$AT$1,"Total Third Party Cost Share","")</f>
        <v>Total Third Party Cost Share</v>
      </c>
      <c r="C73" s="201"/>
      <c r="D73" s="42"/>
      <c r="E73" s="494"/>
      <c r="F73" s="496">
        <f>IF($C$7=$AT$1,SUM(F70:F72),"")</f>
        <v>0</v>
      </c>
      <c r="G73" s="494"/>
      <c r="H73" s="496">
        <f>IF($C$7=$AT$1,SUM(H70:H72),"")</f>
        <v>0</v>
      </c>
      <c r="I73" s="494"/>
      <c r="J73" s="496">
        <f>IF($C$7=$AT$1,SUM(J70:J72),"")</f>
        <v>0</v>
      </c>
      <c r="K73" s="494"/>
      <c r="L73" s="496">
        <f>IF($C$7=$AT$1,SUM(L70:L72),"")</f>
        <v>0</v>
      </c>
      <c r="M73" s="494"/>
      <c r="N73" s="496">
        <f>IF($C$7=$AT$1,SUM(N70:N72),"")</f>
        <v>0</v>
      </c>
      <c r="O73" s="619"/>
      <c r="P73" s="221">
        <f>IF($C$7=$AT$1,SUMIF($E$8:$N$8,$P$8,$E73:$N73),"")</f>
        <v>0</v>
      </c>
      <c r="Q73" s="620">
        <f>IF($C$7=$AT$1,SUM(E73:N73),"")</f>
        <v>0</v>
      </c>
      <c r="R73" s="403" t="str">
        <f>IF(AND($C$7=$AT$1,P73&gt;0),B73&amp;": "&amp;DOLLAR(P73,0),"")</f>
        <v/>
      </c>
    </row>
    <row r="74" spans="1:28" ht="6.75" customHeight="1" x14ac:dyDescent="0.2">
      <c r="A74" s="20"/>
      <c r="B74" s="281"/>
      <c r="C74" s="201"/>
      <c r="D74" s="42"/>
      <c r="E74" s="494"/>
      <c r="F74" s="496"/>
      <c r="G74" s="494"/>
      <c r="H74" s="230"/>
      <c r="I74" s="494"/>
      <c r="J74" s="230"/>
      <c r="K74" s="494"/>
      <c r="L74" s="230"/>
      <c r="M74" s="494"/>
      <c r="N74" s="496"/>
      <c r="O74" s="619"/>
      <c r="P74" s="221"/>
      <c r="Q74" s="620"/>
      <c r="R74" s="403"/>
    </row>
    <row r="75" spans="1:28" ht="12.95" customHeight="1" x14ac:dyDescent="0.2">
      <c r="A75" s="20"/>
      <c r="B75" s="346" t="s">
        <v>61</v>
      </c>
      <c r="C75" s="23"/>
      <c r="D75" s="23"/>
      <c r="E75" s="494"/>
      <c r="F75" s="497"/>
      <c r="G75" s="484"/>
      <c r="H75" s="2"/>
      <c r="I75" s="484"/>
      <c r="J75" s="2"/>
      <c r="K75" s="484"/>
      <c r="L75" s="2"/>
      <c r="M75" s="484"/>
      <c r="N75" s="497"/>
      <c r="O75" s="534"/>
      <c r="P75" s="61"/>
      <c r="Q75" s="454"/>
      <c r="R75" s="403" t="str">
        <f ca="1">IF(AND($C$7=$AT$1,P76&gt;0),"Other In-Kind:","")</f>
        <v/>
      </c>
    </row>
    <row r="76" spans="1:28" ht="12.95" customHeight="1" x14ac:dyDescent="0.2">
      <c r="A76" s="20"/>
      <c r="B76" s="359" t="s">
        <v>83</v>
      </c>
      <c r="C76" s="301"/>
      <c r="D76" s="301"/>
      <c r="E76" s="498">
        <f ca="1">ROUND(SUMIF($B$23:$B$29,$AY$5,E$24:E$29)*$AG$1,0)+ROUND(SUMIF($B$23:$B$29,$AZ$5,E$24:E$29)*$AG$1,0)</f>
        <v>0</v>
      </c>
      <c r="F76" s="499">
        <f ca="1">IF($C$7=$AT$2,ROUND(SUMIF($B$23:$B$29,$AY$5,F$24:F$29)*$AH$1,0)+ROUND(SUMIF($B$23:$B$29,$AZ$5,F$24:F$29)*$AH$1,0),ROUND(SUMIF($B$23:$B$29,$AY$5,F$24:F$29)*$AG$1,0)+ROUND(SUMIF($B$23:$B$29,$AZ$5,F$24:F$29)*$AG$1,0))</f>
        <v>0</v>
      </c>
      <c r="G76" s="498">
        <f ca="1">ROUND(SUMIF($B$23:$B$29,$AY$5,G$24:G$29)*$AG$1,0)+ROUND(SUMIF($B$23:$B$29,$AZ$5,G$24:G$29)*$AG$1,0)</f>
        <v>0</v>
      </c>
      <c r="H76" s="499">
        <f ca="1">IF($C$7=$AT$2,ROUND(SUMIF($B$23:$B$29,$AY$5,H$24:H$29)*$AH$1,0)+ROUND(SUMIF($B$23:$B$29,$AZ$5,H$24:H$29)*$AH$1,0),ROUND(SUMIF($B$23:$B$29,$AY$5,H$24:H$29)*$AG$1,0)+ROUND(SUMIF($B$23:$B$29,$AZ$5,H$24:H$29)*$AG$1,0))</f>
        <v>0</v>
      </c>
      <c r="I76" s="498">
        <f ca="1">ROUND(SUMIF($B$23:$B$29,$AY$5,I$24:I$29)*$AG$1,0)+ROUND(SUMIF($B$23:$B$29,$AZ$5,I$24:I$29)*$AG$1,0)</f>
        <v>0</v>
      </c>
      <c r="J76" s="499">
        <f ca="1">IF($C$7=$AT$2,ROUND(SUMIF($B$23:$B$29,$AY$5,J$24:J$29)*$AH$1,0)+ROUND(SUMIF($B$23:$B$29,$AZ$5,J$24:J$29)*$AH$1,0),ROUND(SUMIF($B$23:$B$29,$AY$5,J$24:J$29)*$AG$1,0)+ROUND(SUMIF($B$23:$B$29,$AZ$5,J$24:J$29)*$AG$1,0))</f>
        <v>0</v>
      </c>
      <c r="K76" s="498">
        <f ca="1">ROUND(SUMIF($B$23:$B$29,$AY$5,K$24:K$29)*$AG$1,0)+ROUND(SUMIF($B$23:$B$29,$AZ$5,K$24:K$29)*$AG$1,0)</f>
        <v>0</v>
      </c>
      <c r="L76" s="499">
        <f ca="1">IF($C$7=$AT$2,ROUND(SUMIF($B$23:$B$29,$AY$5,L$24:L$29)*$AH$1,0)+ROUND(SUMIF($B$23:$B$29,$AZ$5,L$24:L$29)*$AH$1,0),ROUND(SUMIF($B$23:$B$29,$AY$5,L$24:L$29)*$AG$1,0)+ROUND(SUMIF($B$23:$B$29,$AZ$5,L$24:L$29)*$AG$1,0))</f>
        <v>0</v>
      </c>
      <c r="M76" s="498">
        <f ca="1">ROUND(SUMIF($B$23:$B$29,$AY$5,M$24:M$29)*$AG$1,0)+ROUND(SUMIF($B$23:$B$29,$AZ$5,M$24:M$29)*$AG$1,0)</f>
        <v>0</v>
      </c>
      <c r="N76" s="499">
        <f ca="1">IF($C$7=$AT$2,ROUND(SUMIF($B$23:$B$29,$AY$5,N$24:N$29)*$AH$1,0)+ROUND(SUMIF($B$23:$B$29,$AZ$5,N$24:N$29)*$AH$1,0),ROUND(SUMIF($B$23:$B$29,$AY$5,N$24:N$29)*$AG$1,0)+ROUND(SUMIF($B$23:$B$29,$AZ$5,N$24:N$29)*$AG$1,0))</f>
        <v>0</v>
      </c>
      <c r="O76" s="538">
        <f ca="1">SUMIF($E$8:$N$8,$O$8,$E76:$N76)</f>
        <v>0</v>
      </c>
      <c r="P76" s="577">
        <f ca="1">SUMIF($E$8:$N$8,$P$8,$E76:$N76)</f>
        <v>0</v>
      </c>
      <c r="Q76" s="464">
        <f ca="1">SUM(E76:N76)</f>
        <v>0</v>
      </c>
      <c r="R76" s="403" t="str">
        <f ca="1">IF(AND($C$7=$AT$1,P76&gt;0),P76,"")</f>
        <v/>
      </c>
    </row>
    <row r="77" spans="1:28" ht="12.95" customHeight="1" x14ac:dyDescent="0.2">
      <c r="A77" s="20"/>
      <c r="B77" s="744" t="s">
        <v>119</v>
      </c>
      <c r="C77" s="744"/>
      <c r="D77" s="406"/>
      <c r="E77" s="481">
        <v>0</v>
      </c>
      <c r="F77" s="482">
        <v>0</v>
      </c>
      <c r="G77" s="481">
        <f>ROUND(E77*(1+$H$2),0)</f>
        <v>0</v>
      </c>
      <c r="H77" s="483">
        <f>ROUND(F77*(1+$H$2),0)</f>
        <v>0</v>
      </c>
      <c r="I77" s="481">
        <f t="shared" ref="I77:N77" si="24">ROUND(G77*(1+$H$2),0)</f>
        <v>0</v>
      </c>
      <c r="J77" s="483">
        <f t="shared" si="24"/>
        <v>0</v>
      </c>
      <c r="K77" s="481">
        <f t="shared" si="24"/>
        <v>0</v>
      </c>
      <c r="L77" s="483">
        <f t="shared" si="24"/>
        <v>0</v>
      </c>
      <c r="M77" s="481">
        <f t="shared" si="24"/>
        <v>0</v>
      </c>
      <c r="N77" s="482">
        <f t="shared" si="24"/>
        <v>0</v>
      </c>
      <c r="O77" s="534">
        <f>SUMIF($E$8:$N$8,$O$8,$E77:$N77)</f>
        <v>0</v>
      </c>
      <c r="P77" s="61">
        <f>SUMIF($E$8:$N$8,$P$8,$E77:$N77)</f>
        <v>0</v>
      </c>
      <c r="Q77" s="454">
        <f>SUM(E77:N77)</f>
        <v>0</v>
      </c>
      <c r="R77" s="403"/>
      <c r="AB77" s="405" t="str">
        <f>"To add another Other-Other Cost: Copy row "&amp;ROW(B77)&amp;" and paste ('Insert Copied Rows') in empty (lower height) row beneath"</f>
        <v>To add another Other-Other Cost: Copy row 77 and paste ('Insert Copied Rows') in empty (lower height) row beneath</v>
      </c>
    </row>
    <row r="78" spans="1:28" ht="12.95" customHeight="1" x14ac:dyDescent="0.2">
      <c r="A78" s="20"/>
      <c r="B78" s="744" t="s">
        <v>119</v>
      </c>
      <c r="C78" s="744"/>
      <c r="D78" s="406"/>
      <c r="E78" s="481">
        <v>0</v>
      </c>
      <c r="F78" s="482">
        <v>0</v>
      </c>
      <c r="G78" s="481">
        <f>ROUND(E78*(1+$H$2),0)</f>
        <v>0</v>
      </c>
      <c r="H78" s="483">
        <f>ROUND(F78*(1+$H$2),0)</f>
        <v>0</v>
      </c>
      <c r="I78" s="481">
        <f t="shared" ref="I78:N78" si="25">ROUND(G78*(1+$H$2),0)</f>
        <v>0</v>
      </c>
      <c r="J78" s="483">
        <f t="shared" si="25"/>
        <v>0</v>
      </c>
      <c r="K78" s="481">
        <f t="shared" si="25"/>
        <v>0</v>
      </c>
      <c r="L78" s="483">
        <f t="shared" si="25"/>
        <v>0</v>
      </c>
      <c r="M78" s="481">
        <f t="shared" si="25"/>
        <v>0</v>
      </c>
      <c r="N78" s="482">
        <f t="shared" si="25"/>
        <v>0</v>
      </c>
      <c r="O78" s="534">
        <f>SUMIF($E$8:$N$8,$O$8,$E78:$N78)</f>
        <v>0</v>
      </c>
      <c r="P78" s="61">
        <f>SUMIF($E$8:$N$8,$P$8,$E78:$N78)</f>
        <v>0</v>
      </c>
      <c r="Q78" s="454">
        <f>SUM(E78:N78)</f>
        <v>0</v>
      </c>
      <c r="R78" s="403"/>
      <c r="AB78" s="405"/>
    </row>
    <row r="79" spans="1:28" ht="9" customHeight="1" x14ac:dyDescent="0.2">
      <c r="A79" s="20"/>
      <c r="B79" s="361"/>
      <c r="C79" s="23"/>
      <c r="D79" s="362"/>
      <c r="E79" s="481"/>
      <c r="F79" s="500"/>
      <c r="G79" s="481"/>
      <c r="H79" s="119"/>
      <c r="I79" s="481"/>
      <c r="J79" s="119"/>
      <c r="K79" s="481"/>
      <c r="L79" s="119"/>
      <c r="M79" s="481"/>
      <c r="N79" s="500"/>
      <c r="O79" s="534"/>
      <c r="P79" s="61"/>
      <c r="Q79" s="454"/>
      <c r="R79" s="403"/>
    </row>
    <row r="80" spans="1:28" ht="12.95" customHeight="1" x14ac:dyDescent="0.2">
      <c r="A80" s="20"/>
      <c r="B80" s="363" t="s">
        <v>111</v>
      </c>
      <c r="C80" s="364"/>
      <c r="D80" s="364"/>
      <c r="E80" s="501">
        <f ca="1">SUM(E76:E79)</f>
        <v>0</v>
      </c>
      <c r="F80" s="502">
        <f ca="1">SUM(F76:F79)</f>
        <v>0</v>
      </c>
      <c r="G80" s="501">
        <f t="shared" ref="G80:N80" ca="1" si="26">SUM(G76:G79)</f>
        <v>0</v>
      </c>
      <c r="H80" s="503">
        <f t="shared" ca="1" si="26"/>
        <v>0</v>
      </c>
      <c r="I80" s="501">
        <f t="shared" ca="1" si="26"/>
        <v>0</v>
      </c>
      <c r="J80" s="503">
        <f t="shared" ca="1" si="26"/>
        <v>0</v>
      </c>
      <c r="K80" s="501">
        <f t="shared" ca="1" si="26"/>
        <v>0</v>
      </c>
      <c r="L80" s="503">
        <f t="shared" ca="1" si="26"/>
        <v>0</v>
      </c>
      <c r="M80" s="501">
        <f t="shared" ca="1" si="26"/>
        <v>0</v>
      </c>
      <c r="N80" s="502">
        <f t="shared" ca="1" si="26"/>
        <v>0</v>
      </c>
      <c r="O80" s="539">
        <f ca="1">SUMIF($E$8:$N$8,$O$8,$E80:$N80)</f>
        <v>0</v>
      </c>
      <c r="P80" s="594">
        <f ca="1">SUMIF($E$8:$N$8,$P$8,$E80:$N80)</f>
        <v>0</v>
      </c>
      <c r="Q80" s="504">
        <f ca="1">SUM(E80:N80)</f>
        <v>0</v>
      </c>
      <c r="R80" s="403"/>
    </row>
    <row r="81" spans="1:18" ht="4.5" customHeight="1" x14ac:dyDescent="0.2">
      <c r="A81" s="20"/>
      <c r="B81" s="367"/>
      <c r="C81" s="162"/>
      <c r="D81" s="162"/>
      <c r="E81" s="505"/>
      <c r="F81" s="506"/>
      <c r="G81" s="505"/>
      <c r="H81" s="368"/>
      <c r="I81" s="505"/>
      <c r="J81" s="368"/>
      <c r="K81" s="505"/>
      <c r="L81" s="368"/>
      <c r="M81" s="505"/>
      <c r="N81" s="506"/>
      <c r="O81" s="533"/>
      <c r="P81" s="227"/>
      <c r="Q81" s="507"/>
      <c r="R81" s="403"/>
    </row>
    <row r="82" spans="1:18" ht="12.95" customHeight="1" thickBot="1" x14ac:dyDescent="0.25">
      <c r="A82" s="20"/>
      <c r="B82" s="325" t="s">
        <v>13</v>
      </c>
      <c r="C82" s="544"/>
      <c r="D82" s="301"/>
      <c r="E82" s="515">
        <f t="shared" ref="E82:M82" ca="1" si="27">SUM(E57:E79)-SUMIF($B$57:$B$79,$B$64,E57:E79)-SUMIF($B$57:$B$79,$B$63,E57:E79)</f>
        <v>0</v>
      </c>
      <c r="F82" s="516">
        <f ca="1">SUM(F57:F68)-SUMIF($B$57:$B$68,$B$64,F57:F68)-SUMIF($B$57:$B$68,$B$63,F57:F68)+IF(F73&lt;&gt;"",F73,0)+F80</f>
        <v>0</v>
      </c>
      <c r="G82" s="515">
        <f t="shared" ca="1" si="27"/>
        <v>0</v>
      </c>
      <c r="H82" s="516">
        <f ca="1">SUM(H57:H68)-SUMIF($B$57:$B$68,$B$64,H57:H68)-SUMIF($B$57:$B$68,$B$63,H57:H68)+IF(H73&lt;&gt;"",H73,0)+H80</f>
        <v>0</v>
      </c>
      <c r="I82" s="515">
        <f t="shared" ca="1" si="27"/>
        <v>0</v>
      </c>
      <c r="J82" s="516">
        <f ca="1">SUM(J57:J68)-SUMIF($B$57:$B$68,$B$64,J57:J68)-SUMIF($B$57:$B$68,$B$63,J57:J68)+IF(J73&lt;&gt;"",J73,0)+J80</f>
        <v>0</v>
      </c>
      <c r="K82" s="515">
        <f t="shared" ca="1" si="27"/>
        <v>0</v>
      </c>
      <c r="L82" s="516">
        <f ca="1">SUM(L57:L68)-SUMIF($B$57:$B$68,$B$64,L57:L68)-SUMIF($B$57:$B$68,$B$63,L57:L68)+IF(L73&lt;&gt;"",L73,0)+L80</f>
        <v>0</v>
      </c>
      <c r="M82" s="515">
        <f t="shared" ca="1" si="27"/>
        <v>0</v>
      </c>
      <c r="N82" s="516">
        <f ca="1">SUM(N57:N68)-SUMIF($B$57:$B$68,$B$64,N57:N68)-SUMIF($B$57:$B$68,$B$63,N57:N68)+IF(N73&lt;&gt;"",N73,0)+N80</f>
        <v>0</v>
      </c>
      <c r="O82" s="532">
        <f ca="1">SUMIF($E$8:$N$8,$O$8,$E82:$N82)</f>
        <v>0</v>
      </c>
      <c r="P82" s="578">
        <f ca="1">SUMIF($E$8:$N$8,$P$8,$E82:$N82)</f>
        <v>0</v>
      </c>
      <c r="Q82" s="517">
        <f ca="1">SUM(E82:N82)</f>
        <v>0</v>
      </c>
      <c r="R82" s="403"/>
    </row>
    <row r="83" spans="1:18" ht="4.5" customHeight="1" thickBot="1" x14ac:dyDescent="0.25">
      <c r="A83" s="549"/>
      <c r="B83" s="573"/>
      <c r="C83" s="437"/>
      <c r="D83" s="551"/>
      <c r="E83" s="574"/>
      <c r="F83" s="575"/>
      <c r="G83" s="574"/>
      <c r="H83" s="576"/>
      <c r="I83" s="574"/>
      <c r="J83" s="576"/>
      <c r="K83" s="574"/>
      <c r="L83" s="576"/>
      <c r="M83" s="574"/>
      <c r="N83" s="575"/>
      <c r="O83" s="529"/>
      <c r="P83" s="548"/>
      <c r="Q83" s="469"/>
      <c r="R83" s="403"/>
    </row>
    <row r="84" spans="1:18" ht="12.95" customHeight="1" x14ac:dyDescent="0.2">
      <c r="A84" s="20" t="s">
        <v>7</v>
      </c>
      <c r="B84" s="281" t="s">
        <v>8</v>
      </c>
      <c r="D84" s="23"/>
      <c r="E84" s="570">
        <f t="shared" ref="E84:N84" ca="1" si="28">E36+E42+E44+E45+E54+E82</f>
        <v>0</v>
      </c>
      <c r="F84" s="571">
        <f t="shared" ca="1" si="28"/>
        <v>0</v>
      </c>
      <c r="G84" s="570">
        <f t="shared" ca="1" si="28"/>
        <v>0</v>
      </c>
      <c r="H84" s="571">
        <f t="shared" ca="1" si="28"/>
        <v>0</v>
      </c>
      <c r="I84" s="570">
        <f t="shared" ca="1" si="28"/>
        <v>0</v>
      </c>
      <c r="J84" s="571">
        <f t="shared" ca="1" si="28"/>
        <v>0</v>
      </c>
      <c r="K84" s="570">
        <f t="shared" ca="1" si="28"/>
        <v>0</v>
      </c>
      <c r="L84" s="571">
        <f t="shared" ca="1" si="28"/>
        <v>0</v>
      </c>
      <c r="M84" s="570">
        <f t="shared" ca="1" si="28"/>
        <v>0</v>
      </c>
      <c r="N84" s="571">
        <f t="shared" ca="1" si="28"/>
        <v>0</v>
      </c>
      <c r="O84" s="572">
        <f ca="1">SUMIF($E$8:$N$8,$O$8,$E84:$N84)</f>
        <v>0</v>
      </c>
      <c r="P84" s="64">
        <f ca="1">SUMIF($E$8:$N$8,$P$8,$E84:$N84)</f>
        <v>0</v>
      </c>
      <c r="Q84" s="536">
        <f ca="1">SUM(E84:N84)</f>
        <v>0</v>
      </c>
      <c r="R84" s="403" t="str">
        <f ca="1">IF(AND($C$7=$AT$1,P84-IF(P73&lt;&gt;"",P73,0)-P36&gt;0),"Hard Match:","")</f>
        <v/>
      </c>
    </row>
    <row r="85" spans="1:18" ht="12.95" customHeight="1" x14ac:dyDescent="0.2">
      <c r="A85" s="20"/>
      <c r="B85" s="373" t="str">
        <f>IF(C4="","",IF(C4=AM1,"MTDC:",IF(C4=AM2,"TDC:","Other:")))</f>
        <v>MTDC:</v>
      </c>
      <c r="C85" s="374" t="s">
        <v>34</v>
      </c>
      <c r="D85" s="375"/>
      <c r="E85" s="510">
        <f ca="1">IF($C$4="",0,IF($C$4=$AM$1,E84-E42-E54-E61-SUMIF($B$57:$B$77,$B$64,E57:E77)-E76-SUMIF($B$77:$B$79,$BD$2,E77:E79)-SUMIF($B$77:$B$79,$BE$2,E77:E79),E84-E76))</f>
        <v>0</v>
      </c>
      <c r="F85" s="511">
        <f ca="1">IF($C$4="",0,IF($C$4=$AM$1,F84-F42-F54-F61-SUMIF($B$57:$B$77,$B$64,F57:F77)-IF(F73&lt;&gt;"",F73,0)-F76-SUMIF($B$77:$B$79,$BD$2,F77:F79)-SUMIF($B$77:$B$79,$BE$2,F77:F79),F84-F73-F76))</f>
        <v>0</v>
      </c>
      <c r="G85" s="510">
        <f ca="1">IF($C$4="",0,IF($C$4=$AM$1,G84-G42-G54-G61-SUMIF($B$57:$B$77,$B$64,G57:G77)-G76-SUMIF($B$77:$B$79,$BD$2,G77:G79)-SUMIF($B$77:$B$79,$BE$2,G77:G79),G84-G76))</f>
        <v>0</v>
      </c>
      <c r="H85" s="511">
        <f ca="1">IF($C$4="",0,IF($C$4=$AM$1,H84-H42-H54-H61-SUMIF($B$57:$B$77,$B$64,H57:H77)-IF(H73&lt;&gt;"",H73,0)-H76-SUMIF($B$77:$B$79,$BD$2,H77:H79)-SUMIF($B$77:$B$79,$BE$2,H77:H79),H84-H73-H76))</f>
        <v>0</v>
      </c>
      <c r="I85" s="510">
        <f ca="1">IF($C$4="",0,IF($C$4=$AM$1,I84-I42-I54-I61-SUMIF($B$57:$B$77,$B$64,I57:I77)-I76-SUMIF($B$77:$B$79,$BD$2,I77:I79)-SUMIF($B$77:$B$79,$BE$2,I77:I79),I84-I76))</f>
        <v>0</v>
      </c>
      <c r="J85" s="511">
        <f ca="1">IF($C$4="",0,IF($C$4=$AM$1,J84-J42-J54-J61-SUMIF($B$57:$B$77,$B$64,J57:J77)-IF(J73&lt;&gt;"",J73,0)-J76-SUMIF($B$77:$B$79,$BD$2,J77:J79)-SUMIF($B$77:$B$79,$BE$2,J77:J79),J84-J73-J76))</f>
        <v>0</v>
      </c>
      <c r="K85" s="510">
        <f ca="1">IF($C$4="",0,IF($C$4=$AM$1,K84-K42-K54-K61-SUMIF($B$57:$B$77,$B$64,K57:K77)-K76-SUMIF($B$77:$B$79,$BD$2,K77:K79)-SUMIF($B$77:$B$79,$BE$2,K77:K79),K84-K76))</f>
        <v>0</v>
      </c>
      <c r="L85" s="511">
        <f ca="1">IF($C$4="",0,IF($C$4=$AM$1,L84-L42-L54-L61-SUMIF($B$57:$B$77,$B$64,L57:L77)-IF(L73&lt;&gt;"",L73,0)-L76-SUMIF($B$77:$B$79,$BD$2,L77:L79)-SUMIF($B$77:$B$79,$BE$2,L77:L79),L84-L73-L76))</f>
        <v>0</v>
      </c>
      <c r="M85" s="510">
        <f ca="1">IF($C$4="",0,IF($C$4=$AM$1,M84-M42-M54-M61-SUMIF($B$57:$B$77,$B$64,M57:M77)-M76-SUMIF($B$77:$B$79,$BD$2,M77:M79)-SUMIF($B$77:$B$79,$BE$2,M77:M79),M84-M76))</f>
        <v>0</v>
      </c>
      <c r="N85" s="511">
        <f ca="1">IF($C$4="",0,IF($C$4=$AM$1,N84-N42-N54-N61-SUMIF($B$57:$B$77,$B$64,N57:N77)-IF(N73&lt;&gt;"",N73,0)-N76-SUMIF($B$77:$B$79,$BD$2,N77:N79)-SUMIF($B$77:$B$79,$BE$2,N77:N79),N84-N73-N76))</f>
        <v>0</v>
      </c>
      <c r="O85" s="530">
        <f ca="1">SUMIF($E$8:$N$8,$O$8,$E85:$N85)</f>
        <v>0</v>
      </c>
      <c r="P85" s="592">
        <f ca="1">SUMIF($E$8:$N$8,$P$8,$E85:$N85)</f>
        <v>0</v>
      </c>
      <c r="Q85" s="490">
        <f ca="1">SUM(E85:N85)</f>
        <v>0</v>
      </c>
      <c r="R85" s="403" t="str">
        <f ca="1">IF(AND($C$7=$AT$1,P84-IF(P73&lt;&gt;"",P73,0)-P36&gt;0),P84-IF(P73&lt;&gt;"",P73,0)-P36,"")</f>
        <v/>
      </c>
    </row>
    <row r="86" spans="1:18" ht="12.95" customHeight="1" x14ac:dyDescent="0.2">
      <c r="A86" s="20"/>
      <c r="C86" s="42"/>
      <c r="D86" s="42"/>
      <c r="E86" s="512"/>
      <c r="F86" s="513"/>
      <c r="G86" s="512"/>
      <c r="H86" s="44"/>
      <c r="I86" s="512"/>
      <c r="J86" s="44"/>
      <c r="K86" s="512"/>
      <c r="L86" s="44"/>
      <c r="M86" s="512"/>
      <c r="N86" s="513"/>
      <c r="O86" s="531"/>
      <c r="P86" s="65"/>
      <c r="Q86" s="514"/>
      <c r="R86" s="403" t="str">
        <f>IF(AND($C$7=$AT$1,SUM(P87:P88)&gt;0),"Cost Share F&amp;A:","")</f>
        <v/>
      </c>
    </row>
    <row r="87" spans="1:18" ht="12.95" customHeight="1" x14ac:dyDescent="0.2">
      <c r="A87" s="20" t="s">
        <v>89</v>
      </c>
      <c r="B87" s="377" t="s">
        <v>92</v>
      </c>
      <c r="C87" s="378"/>
      <c r="D87" s="301"/>
      <c r="E87" s="515" t="str">
        <f t="shared" ref="E87:M87" si="29">IF($C$3="TBD","TBD",IF(E84=0,"TBD",ROUND($C$3*E85,0)))</f>
        <v>TBD</v>
      </c>
      <c r="F87" s="524" t="str">
        <f>IF($C$3="TBD","TBD",IF(F84=0,0,IF(AND($C$7=$AT$2,$C$3=$T$1),ROUND($H$3*F85,0),IF(AND($C$7=$AT$3,$C$3=$T$1),ROUND($H$3*F85,0),IF($C$7=$AT$1,ROUND($H$3*F85,0),ROUND($C$3*F85,0))))))</f>
        <v>TBD</v>
      </c>
      <c r="G87" s="515" t="str">
        <f t="shared" si="29"/>
        <v>TBD</v>
      </c>
      <c r="H87" s="524" t="str">
        <f>IF($C$3="TBD","TBD",IF(H84=0,0,IF(AND($C$7=$AT$2,$C$3=$T$1),ROUND($H$3*H85,0),IF(AND($C$7=$AT$3,$C$3=$T$1),ROUND($H$3*H85,0),IF($C$7=$AT$1,ROUND($H$3*H85,0),ROUND($C$3*H85,0))))))</f>
        <v>TBD</v>
      </c>
      <c r="I87" s="515" t="str">
        <f t="shared" si="29"/>
        <v>TBD</v>
      </c>
      <c r="J87" s="524" t="str">
        <f>IF($C$3="TBD","TBD",IF(J84=0,0,IF(AND($C$7=$AT$2,$C$3=$T$1),ROUND($H$3*J85,0),IF(AND($C$7=$AT$3,$C$3=$T$1),ROUND($H$3*J85,0),IF($C$7=$AT$1,ROUND($H$3*J85,0),ROUND($C$3*J85,0))))))</f>
        <v>TBD</v>
      </c>
      <c r="K87" s="515" t="str">
        <f t="shared" si="29"/>
        <v>TBD</v>
      </c>
      <c r="L87" s="524" t="str">
        <f>IF($C$3="TBD","TBD",IF(L84=0,0,IF(AND($C$7=$AT$2,$C$3=$T$1),ROUND($H$3*L85,0),IF(AND($C$7=$AT$3,$C$3=$T$1),ROUND($H$3*L85,0),IF($C$7=$AT$1,ROUND($H$3*L85,0),ROUND($C$3*L85,0))))))</f>
        <v>TBD</v>
      </c>
      <c r="M87" s="515" t="str">
        <f t="shared" si="29"/>
        <v>TBD</v>
      </c>
      <c r="N87" s="524" t="str">
        <f>IF($C$3="TBD","TBD",IF(N84=0,0,IF(AND($C$7=$AT$2,$C$3=$T$1),ROUND($H$3*N85,0),IF(AND($C$7=$AT$3,$C$3=$T$1),ROUND($H$3*N85,0),IF($C$7=$AT$1,ROUND($H$3*N85,0),ROUND($C$3*N85,0))))))</f>
        <v>TBD</v>
      </c>
      <c r="O87" s="532">
        <f>SUMIF($E$8:$N$8,$O$8,$E87:$N87)</f>
        <v>0</v>
      </c>
      <c r="P87" s="578">
        <f>SUMIF($E$8:$N$8,$P$8,$E87:$N87)</f>
        <v>0</v>
      </c>
      <c r="Q87" s="517">
        <f>SUM(E87:N87)+SUM(E88:N88)</f>
        <v>0</v>
      </c>
      <c r="R87" s="403" t="str">
        <f>IF(AND($C$7=$AT$1,SUM(P87:P88)&gt;0),P87+IF($H$4=$AU$2,P88,0),"")</f>
        <v/>
      </c>
    </row>
    <row r="88" spans="1:18" ht="12.95" customHeight="1" x14ac:dyDescent="0.2">
      <c r="A88" s="20"/>
      <c r="B88" s="281" t="str">
        <f>IF($H$4=$AU$2,"Unrecovered F&amp;A Costs","")</f>
        <v/>
      </c>
      <c r="D88" s="23"/>
      <c r="E88" s="518"/>
      <c r="F88" s="519" t="str">
        <f>IF($C$3="TBD","TBD",IF(E$87="tbd","",ROUND((($H$3*E$85)-E$87),0)))</f>
        <v>TBD</v>
      </c>
      <c r="G88" s="518"/>
      <c r="H88" s="519" t="str">
        <f>IF($C$3="TBD","TBD",IF(G$87="tbd","",ROUND((($H$3*G$85)-G$87),0)))</f>
        <v>TBD</v>
      </c>
      <c r="I88" s="518"/>
      <c r="J88" s="519" t="str">
        <f>IF($C$3="TBD","TBD",IF(I$87="tbd","",ROUND((($H$3*I$85)-I$87),0)))</f>
        <v>TBD</v>
      </c>
      <c r="K88" s="518"/>
      <c r="L88" s="519" t="str">
        <f>IF($C$3="TBD","TBD",IF(K$87="tbd","",ROUND((($H$3*K$85)-K$87),0)))</f>
        <v>TBD</v>
      </c>
      <c r="M88" s="518"/>
      <c r="N88" s="519" t="str">
        <f>IF($C$3="TBD","TBD",IF(M$87="tbd","",ROUND((($H$3*M$85)-M$87),0)))</f>
        <v>TBD</v>
      </c>
      <c r="O88" s="533"/>
      <c r="P88" s="227" t="str">
        <f>IF($H$4=$AU$2,SUMIF($E$8:$N$8,$P$8,$E88:$N88),"")</f>
        <v/>
      </c>
      <c r="Q88" s="507"/>
      <c r="R88" s="403"/>
    </row>
    <row r="89" spans="1:18" ht="7.5" customHeight="1" x14ac:dyDescent="0.2">
      <c r="A89" s="20"/>
      <c r="C89" s="23"/>
      <c r="D89" s="23"/>
      <c r="E89" s="459"/>
      <c r="F89" s="460"/>
      <c r="G89" s="459"/>
      <c r="H89" s="13"/>
      <c r="I89" s="459"/>
      <c r="J89" s="13"/>
      <c r="K89" s="459"/>
      <c r="L89" s="13"/>
      <c r="M89" s="459"/>
      <c r="N89" s="460"/>
      <c r="O89" s="534"/>
      <c r="P89" s="61"/>
      <c r="Q89" s="454"/>
      <c r="R89" s="403"/>
    </row>
    <row r="90" spans="1:18" ht="12.95" customHeight="1" thickBot="1" x14ac:dyDescent="0.25">
      <c r="A90" s="46" t="s">
        <v>90</v>
      </c>
      <c r="B90" s="326" t="s">
        <v>32</v>
      </c>
      <c r="C90" s="327"/>
      <c r="D90" s="327"/>
      <c r="E90" s="508" t="str">
        <f>IF($C$3="TBD","TBD",IF(E84=0,"TBD",E87+E84))</f>
        <v>TBD</v>
      </c>
      <c r="F90" s="509" t="str">
        <f>IF($C$3="TBD","TBD",IF(F88="",F84+F87,IF(F88=0,F84+F87,F84+F87+F88)))</f>
        <v>TBD</v>
      </c>
      <c r="G90" s="508" t="str">
        <f>IF($C$3="TBD","TBD",IF(G84=0,"TBD",G87+G84))</f>
        <v>TBD</v>
      </c>
      <c r="H90" s="509" t="str">
        <f>IF($C$3="TBD","TBD",IF(H88="",H84+H87,IF(H88=0,H84+H87,H84+H87+H88)))</f>
        <v>TBD</v>
      </c>
      <c r="I90" s="508" t="str">
        <f>IF($C$3="TBD","TBD",IF(I84=0,"TBD",I87+I84))</f>
        <v>TBD</v>
      </c>
      <c r="J90" s="509" t="str">
        <f>IF($C$3="TBD","TBD",IF(J88="",J84+J87,IF(J88=0,J84+J87,J84+J87+J88)))</f>
        <v>TBD</v>
      </c>
      <c r="K90" s="508" t="str">
        <f>IF($C$3="TBD","TBD",IF(K84=0,"TBD",K87+K84))</f>
        <v>TBD</v>
      </c>
      <c r="L90" s="509" t="str">
        <f>IF($C$3="TBD","TBD",IF(L88="",L84+L87,IF(L88=0,L84+L87,L84+L87+L88)))</f>
        <v>TBD</v>
      </c>
      <c r="M90" s="508" t="str">
        <f>IF($C$3="TBD","TBD",IF(M84=0,"TBD",M87+M84))</f>
        <v>TBD</v>
      </c>
      <c r="N90" s="509" t="str">
        <f>IF($C$3="TBD","TBD",IF(N88="",N84+N87,IF(N88=0,N84+N87,N84+N87+N88)))</f>
        <v>TBD</v>
      </c>
      <c r="O90" s="535">
        <f>SUMIF($E$8:$N$8,$O$8,$E90:$N90)</f>
        <v>0</v>
      </c>
      <c r="P90" s="607">
        <f>SUMIF($E$8:$N$8,$P$8,$E90:$N90)</f>
        <v>0</v>
      </c>
      <c r="Q90" s="466">
        <f>SUM(E90:N90)</f>
        <v>0</v>
      </c>
      <c r="R90" s="403" t="str">
        <f>IF($C$7&lt;&gt;$AT$1,"","Cost Share Percentage: "&amp;IF(AND($C$7=$AT$1,$C$3&lt;&gt;"TBD"),ROUND(P90/Q90*100,2)&amp;"% of Project | "&amp;ROUND(P90/O90*100,2)&amp;"% of Sponsor Costs","TBD"))</f>
        <v>Cost Share Percentage: TBD</v>
      </c>
    </row>
    <row r="91" spans="1:18" ht="12.95" customHeight="1" thickBot="1" x14ac:dyDescent="0.25">
      <c r="A91"/>
      <c r="B91" s="346"/>
      <c r="C91"/>
      <c r="D91"/>
      <c r="E91" s="777"/>
      <c r="F91" s="777"/>
      <c r="G91" s="777"/>
      <c r="H91" s="777"/>
      <c r="I91" s="775"/>
      <c r="J91" s="775"/>
      <c r="K91" s="775"/>
      <c r="L91" s="775"/>
      <c r="M91" s="775"/>
      <c r="N91" s="775"/>
      <c r="O91" s="19"/>
      <c r="P91" s="19"/>
      <c r="Q91" s="19"/>
      <c r="R91" s="35"/>
    </row>
    <row r="92" spans="1:18" x14ac:dyDescent="0.2">
      <c r="A92" s="381" t="s">
        <v>143</v>
      </c>
      <c r="B92" s="320"/>
      <c r="C92" s="382"/>
      <c r="D92" s="382"/>
      <c r="E92" s="623" t="str">
        <f>$E$8</f>
        <v>Sponsor</v>
      </c>
      <c r="F92" s="624" t="str">
        <f>$F$8</f>
        <v>Cost Share</v>
      </c>
      <c r="G92" s="623" t="str">
        <f>$E$8</f>
        <v>Sponsor</v>
      </c>
      <c r="H92" s="624" t="str">
        <f>$F$8</f>
        <v>Cost Share</v>
      </c>
      <c r="I92" s="623" t="str">
        <f>$E$8</f>
        <v>Sponsor</v>
      </c>
      <c r="J92" s="624" t="str">
        <f>$F$8</f>
        <v>Cost Share</v>
      </c>
      <c r="K92" s="623" t="str">
        <f>$E$8</f>
        <v>Sponsor</v>
      </c>
      <c r="L92" s="624" t="str">
        <f>$F$8</f>
        <v>Cost Share</v>
      </c>
      <c r="M92" s="623" t="str">
        <f>$E$8</f>
        <v>Sponsor</v>
      </c>
      <c r="N92" s="624" t="str">
        <f>$F$8</f>
        <v>Cost Share</v>
      </c>
      <c r="O92" s="579" t="str">
        <f>$E$8</f>
        <v>Sponsor</v>
      </c>
      <c r="P92" s="624" t="str">
        <f>$F$8</f>
        <v>Cost Share</v>
      </c>
      <c r="Q92" s="609" t="s">
        <v>172</v>
      </c>
      <c r="R92" s="403"/>
    </row>
    <row r="93" spans="1:18" x14ac:dyDescent="0.2">
      <c r="A93" s="293"/>
      <c r="B93" s="384"/>
      <c r="C93" s="301"/>
      <c r="D93" s="296"/>
      <c r="E93" s="580">
        <f t="shared" ref="E93:N93" si="30">SUMIFS(E23:E29,$B$23:$B$29,$AW$5)</f>
        <v>0</v>
      </c>
      <c r="F93" s="613">
        <f t="shared" si="30"/>
        <v>0</v>
      </c>
      <c r="G93" s="580">
        <f t="shared" si="30"/>
        <v>0</v>
      </c>
      <c r="H93" s="613">
        <f t="shared" si="30"/>
        <v>0</v>
      </c>
      <c r="I93" s="580">
        <f t="shared" si="30"/>
        <v>0</v>
      </c>
      <c r="J93" s="613">
        <f t="shared" si="30"/>
        <v>0</v>
      </c>
      <c r="K93" s="580">
        <f t="shared" si="30"/>
        <v>0</v>
      </c>
      <c r="L93" s="613">
        <f t="shared" si="30"/>
        <v>0</v>
      </c>
      <c r="M93" s="580">
        <f t="shared" si="30"/>
        <v>0</v>
      </c>
      <c r="N93" s="613">
        <f t="shared" si="30"/>
        <v>0</v>
      </c>
      <c r="O93" s="582" t="str">
        <f>IF(E93="","                          -","Sum: "&amp;ROUND(SUMIF($E$8:$N$8,$O$8,$E93:$N93),2)&amp;" | Avg: "&amp;ROUND(AVERAGEIF($E$8:$N$8,$O$8,$E93:$N93),2))</f>
        <v>Sum: 0 | Avg: 0</v>
      </c>
      <c r="P93" s="625" t="str">
        <f>IF(F93="","                          -","Sum: "&amp;ROUND(SUMIF($E$8:$N$8,$P$8,$E93:$N93),2)&amp;" | Avg: "&amp;ROUND(AVERAGEIF($E$8:$N$8,$P$8,$E93:$N93),2))</f>
        <v>Sum: 0 | Avg: 0</v>
      </c>
      <c r="Q93" s="610" t="str">
        <f>IF(E93="","                          -","Sum: "&amp;ROUND(SUM(E93:N93),2)&amp;" | Avg: "&amp;ROUND(AVERAGE(E93:N93),2))</f>
        <v>Sum: 0 | Avg: 0</v>
      </c>
      <c r="R93" s="35"/>
    </row>
    <row r="94" spans="1:18" x14ac:dyDescent="0.2">
      <c r="A94" s="293"/>
      <c r="B94" s="387" t="s">
        <v>144</v>
      </c>
      <c r="C94" s="388" t="s">
        <v>20</v>
      </c>
      <c r="D94" s="296"/>
      <c r="E94" s="461">
        <f t="shared" ref="E94:N94" ca="1" si="31">SUMIFS(E24:E29,$C24:$C29,"Mo. Salary",OFFSET($B$24:$B$29,-1,0),$AW$5)</f>
        <v>0</v>
      </c>
      <c r="F94" s="520">
        <f t="shared" ca="1" si="31"/>
        <v>0</v>
      </c>
      <c r="G94" s="461">
        <f t="shared" ca="1" si="31"/>
        <v>0</v>
      </c>
      <c r="H94" s="520">
        <f t="shared" ca="1" si="31"/>
        <v>0</v>
      </c>
      <c r="I94" s="461">
        <f t="shared" ca="1" si="31"/>
        <v>0</v>
      </c>
      <c r="J94" s="520">
        <f t="shared" ca="1" si="31"/>
        <v>0</v>
      </c>
      <c r="K94" s="461">
        <f t="shared" ca="1" si="31"/>
        <v>0</v>
      </c>
      <c r="L94" s="520">
        <f t="shared" ca="1" si="31"/>
        <v>0</v>
      </c>
      <c r="M94" s="461">
        <f t="shared" ca="1" si="31"/>
        <v>0</v>
      </c>
      <c r="N94" s="520">
        <f t="shared" ca="1" si="31"/>
        <v>0</v>
      </c>
      <c r="O94" s="538">
        <f ca="1">SUMIF($E$8:$N$8,$O$8,$E94:$N94)</f>
        <v>0</v>
      </c>
      <c r="P94" s="626">
        <f ca="1">SUMIF($E$8:$N$8,$P$8,$E94:$N94)</f>
        <v>0</v>
      </c>
      <c r="Q94" s="464">
        <f ca="1">SUM(E94:N94)</f>
        <v>0</v>
      </c>
      <c r="R94" s="35"/>
    </row>
    <row r="95" spans="1:18" ht="13.5" thickBot="1" x14ac:dyDescent="0.25">
      <c r="A95" s="293"/>
      <c r="B95" s="389" t="str">
        <f ca="1">"Personnel Count: "&amp;SUM(COUNTIF($B$23:$B$29,$AW$5)*($Q$96&gt;0))</f>
        <v>Personnel Count: 0</v>
      </c>
      <c r="C95" s="390" t="s">
        <v>21</v>
      </c>
      <c r="D95" s="391"/>
      <c r="E95" s="581">
        <f t="shared" ref="E95:N95" ca="1" si="32">SUMIFS(E24:E29,$C24:$C29,"Fringe Rate",OFFSET($B$24:$B$29,-2,0),$AW$5)</f>
        <v>0</v>
      </c>
      <c r="F95" s="521">
        <f t="shared" ca="1" si="32"/>
        <v>0</v>
      </c>
      <c r="G95" s="581">
        <f t="shared" ca="1" si="32"/>
        <v>0</v>
      </c>
      <c r="H95" s="521">
        <f t="shared" ca="1" si="32"/>
        <v>0</v>
      </c>
      <c r="I95" s="581">
        <f t="shared" ca="1" si="32"/>
        <v>0</v>
      </c>
      <c r="J95" s="521">
        <f t="shared" ca="1" si="32"/>
        <v>0</v>
      </c>
      <c r="K95" s="581">
        <f t="shared" ca="1" si="32"/>
        <v>0</v>
      </c>
      <c r="L95" s="521">
        <f t="shared" ca="1" si="32"/>
        <v>0</v>
      </c>
      <c r="M95" s="581">
        <f t="shared" ca="1" si="32"/>
        <v>0</v>
      </c>
      <c r="N95" s="521">
        <f t="shared" ca="1" si="32"/>
        <v>0</v>
      </c>
      <c r="O95" s="583">
        <f ca="1">SUMIF($E$8:$N$8,$O$8,$E95:$N95)</f>
        <v>0</v>
      </c>
      <c r="P95" s="627">
        <f ca="1">SUMIF($E$8:$N$8,$P$8,$E95:$N95)</f>
        <v>0</v>
      </c>
      <c r="Q95" s="611">
        <f ca="1">SUM(E95:N95)</f>
        <v>0</v>
      </c>
    </row>
    <row r="96" spans="1:18" ht="13.5" thickTop="1" x14ac:dyDescent="0.2">
      <c r="A96" s="293"/>
      <c r="B96" s="384"/>
      <c r="C96" s="394" t="s">
        <v>0</v>
      </c>
      <c r="D96" s="312"/>
      <c r="E96" s="545">
        <f ca="1">SUM(E94:E95)</f>
        <v>0</v>
      </c>
      <c r="F96" s="522">
        <f ca="1">SUM(F94:F95)</f>
        <v>0</v>
      </c>
      <c r="G96" s="545">
        <f t="shared" ref="G96:N96" ca="1" si="33">SUM(G94:G95)</f>
        <v>0</v>
      </c>
      <c r="H96" s="522">
        <f t="shared" ca="1" si="33"/>
        <v>0</v>
      </c>
      <c r="I96" s="545">
        <f t="shared" ca="1" si="33"/>
        <v>0</v>
      </c>
      <c r="J96" s="522">
        <f t="shared" ca="1" si="33"/>
        <v>0</v>
      </c>
      <c r="K96" s="545">
        <f t="shared" ca="1" si="33"/>
        <v>0</v>
      </c>
      <c r="L96" s="522">
        <f t="shared" ca="1" si="33"/>
        <v>0</v>
      </c>
      <c r="M96" s="545">
        <f t="shared" ca="1" si="33"/>
        <v>0</v>
      </c>
      <c r="N96" s="522">
        <f t="shared" ca="1" si="33"/>
        <v>0</v>
      </c>
      <c r="O96" s="532">
        <f ca="1">SUMIF($E$8:$N$8,$O$8,$E96:$N96)</f>
        <v>0</v>
      </c>
      <c r="P96" s="628">
        <f ca="1">SUMIF($E$8:$N$8,$P$8,$E96:$N96)</f>
        <v>0</v>
      </c>
      <c r="Q96" s="517">
        <f ca="1">SUM(E96:N96)</f>
        <v>0</v>
      </c>
    </row>
    <row r="97" spans="1:17" x14ac:dyDescent="0.2">
      <c r="A97" s="293"/>
      <c r="B97" s="384"/>
      <c r="C97" s="301"/>
      <c r="D97" s="296"/>
      <c r="E97" s="580">
        <f t="shared" ref="E97:N97" si="34">SUMIFS(E23:E29,$B$23:$B$29,$AX$5)</f>
        <v>0</v>
      </c>
      <c r="F97" s="613">
        <f t="shared" si="34"/>
        <v>0</v>
      </c>
      <c r="G97" s="580">
        <f t="shared" si="34"/>
        <v>0</v>
      </c>
      <c r="H97" s="613">
        <f t="shared" si="34"/>
        <v>0</v>
      </c>
      <c r="I97" s="580">
        <f t="shared" si="34"/>
        <v>0</v>
      </c>
      <c r="J97" s="613">
        <f t="shared" si="34"/>
        <v>0</v>
      </c>
      <c r="K97" s="580">
        <f t="shared" si="34"/>
        <v>0</v>
      </c>
      <c r="L97" s="613">
        <f t="shared" si="34"/>
        <v>0</v>
      </c>
      <c r="M97" s="580">
        <f t="shared" si="34"/>
        <v>0</v>
      </c>
      <c r="N97" s="613">
        <f t="shared" si="34"/>
        <v>0</v>
      </c>
      <c r="O97" s="582" t="str">
        <f>IF(E97="","                          -","Sum: "&amp;ROUND(SUMIF($E$8:$N$8,$O$8,$E97:$N97),2)&amp;" | Avg: "&amp;ROUND(AVERAGEIF($E$8:$N$8,$O$8,$E97:$N97),2))</f>
        <v>Sum: 0 | Avg: 0</v>
      </c>
      <c r="P97" s="625" t="str">
        <f>IF(F97="","                          -","Sum: "&amp;ROUND(SUMIF($E$8:$N$8,$P$8,$E97:$N97),2)&amp;" | Avg: "&amp;ROUND(AVERAGEIF($E$8:$N$8,$P$8,$E97:$N97),2))</f>
        <v>Sum: 0 | Avg: 0</v>
      </c>
      <c r="Q97" s="610" t="str">
        <f>IF(E97="","                          -","Sum: "&amp;ROUND(SUM(E97:N97),2)&amp;" | Avg: "&amp;ROUND(AVERAGE(E97:N97),2))</f>
        <v>Sum: 0 | Avg: 0</v>
      </c>
    </row>
    <row r="98" spans="1:17" x14ac:dyDescent="0.2">
      <c r="A98" s="293"/>
      <c r="B98" s="387" t="s">
        <v>145</v>
      </c>
      <c r="C98" s="388" t="s">
        <v>20</v>
      </c>
      <c r="D98" s="296"/>
      <c r="E98" s="461">
        <f t="shared" ref="E98:N98" ca="1" si="35">SUMIFS(E24:E29,$C24:$C29,"Mo. Salary",OFFSET($B$24:$B$29,-1,0),$AX$5)</f>
        <v>0</v>
      </c>
      <c r="F98" s="520">
        <f t="shared" ca="1" si="35"/>
        <v>0</v>
      </c>
      <c r="G98" s="461">
        <f t="shared" ca="1" si="35"/>
        <v>0</v>
      </c>
      <c r="H98" s="520">
        <f t="shared" ca="1" si="35"/>
        <v>0</v>
      </c>
      <c r="I98" s="461">
        <f t="shared" ca="1" si="35"/>
        <v>0</v>
      </c>
      <c r="J98" s="520">
        <f t="shared" ca="1" si="35"/>
        <v>0</v>
      </c>
      <c r="K98" s="461">
        <f t="shared" ca="1" si="35"/>
        <v>0</v>
      </c>
      <c r="L98" s="520">
        <f t="shared" ca="1" si="35"/>
        <v>0</v>
      </c>
      <c r="M98" s="461">
        <f t="shared" ca="1" si="35"/>
        <v>0</v>
      </c>
      <c r="N98" s="520">
        <f t="shared" ca="1" si="35"/>
        <v>0</v>
      </c>
      <c r="O98" s="538">
        <f ca="1">SUMIF($E$8:$N$8,$O$8,$E98:$N98)</f>
        <v>0</v>
      </c>
      <c r="P98" s="626">
        <f ca="1">SUMIF($E$8:$N$8,$P$8,$E98:$N98)</f>
        <v>0</v>
      </c>
      <c r="Q98" s="464">
        <f ca="1">SUM(E98:N98)</f>
        <v>0</v>
      </c>
    </row>
    <row r="99" spans="1:17" ht="13.5" thickBot="1" x14ac:dyDescent="0.25">
      <c r="A99" s="293"/>
      <c r="B99" s="389" t="str">
        <f ca="1">"Personnel Count: "&amp;SUM(COUNTIF($B$23:$B$29,$AX$5)*($Q$100&gt;0))</f>
        <v>Personnel Count: 0</v>
      </c>
      <c r="C99" s="390" t="s">
        <v>21</v>
      </c>
      <c r="D99" s="391"/>
      <c r="E99" s="581">
        <f t="shared" ref="E99:N99" ca="1" si="36">SUMIFS(E24:E29,$C24:$C29,"Fringe Rate",OFFSET($B$24:$B$29,-2,0),$AX$5)</f>
        <v>0</v>
      </c>
      <c r="F99" s="521">
        <f t="shared" ca="1" si="36"/>
        <v>0</v>
      </c>
      <c r="G99" s="581">
        <f t="shared" ca="1" si="36"/>
        <v>0</v>
      </c>
      <c r="H99" s="521">
        <f t="shared" ca="1" si="36"/>
        <v>0</v>
      </c>
      <c r="I99" s="581">
        <f t="shared" ca="1" si="36"/>
        <v>0</v>
      </c>
      <c r="J99" s="521">
        <f t="shared" ca="1" si="36"/>
        <v>0</v>
      </c>
      <c r="K99" s="581">
        <f t="shared" ca="1" si="36"/>
        <v>0</v>
      </c>
      <c r="L99" s="521">
        <f t="shared" ca="1" si="36"/>
        <v>0</v>
      </c>
      <c r="M99" s="581">
        <f t="shared" ca="1" si="36"/>
        <v>0</v>
      </c>
      <c r="N99" s="521">
        <f t="shared" ca="1" si="36"/>
        <v>0</v>
      </c>
      <c r="O99" s="583">
        <f ca="1">SUMIF($E$8:$N$8,$O$8,$E99:$N99)</f>
        <v>0</v>
      </c>
      <c r="P99" s="627">
        <f ca="1">SUMIF($E$8:$N$8,$P$8,$E99:$N99)</f>
        <v>0</v>
      </c>
      <c r="Q99" s="611">
        <f ca="1">SUM(E99:N99)</f>
        <v>0</v>
      </c>
    </row>
    <row r="100" spans="1:17" ht="13.5" thickTop="1" x14ac:dyDescent="0.2">
      <c r="A100" s="293"/>
      <c r="B100" s="384"/>
      <c r="C100" s="394" t="s">
        <v>0</v>
      </c>
      <c r="D100" s="312"/>
      <c r="E100" s="545">
        <f ca="1">SUM(E98:E99)</f>
        <v>0</v>
      </c>
      <c r="F100" s="522">
        <f ca="1">SUM(F98:F99)</f>
        <v>0</v>
      </c>
      <c r="G100" s="545">
        <f t="shared" ref="G100:N100" ca="1" si="37">SUM(G98:G99)</f>
        <v>0</v>
      </c>
      <c r="H100" s="522">
        <f t="shared" ca="1" si="37"/>
        <v>0</v>
      </c>
      <c r="I100" s="545">
        <f t="shared" ca="1" si="37"/>
        <v>0</v>
      </c>
      <c r="J100" s="522">
        <f t="shared" ca="1" si="37"/>
        <v>0</v>
      </c>
      <c r="K100" s="545">
        <f t="shared" ca="1" si="37"/>
        <v>0</v>
      </c>
      <c r="L100" s="522">
        <f t="shared" ca="1" si="37"/>
        <v>0</v>
      </c>
      <c r="M100" s="545">
        <f t="shared" ca="1" si="37"/>
        <v>0</v>
      </c>
      <c r="N100" s="522">
        <f t="shared" ca="1" si="37"/>
        <v>0</v>
      </c>
      <c r="O100" s="532">
        <f ca="1">SUMIF($E$8:$N$8,$O$8,$E100:$N100)</f>
        <v>0</v>
      </c>
      <c r="P100" s="628">
        <f ca="1">SUMIF($E$8:$N$8,$P$8,$E100:$N100)</f>
        <v>0</v>
      </c>
      <c r="Q100" s="517">
        <f ca="1">SUM(E100:N100)</f>
        <v>0</v>
      </c>
    </row>
    <row r="101" spans="1:17" x14ac:dyDescent="0.2">
      <c r="A101" s="293"/>
      <c r="B101" s="384"/>
      <c r="C101" s="301"/>
      <c r="D101" s="296"/>
      <c r="E101" s="580">
        <f t="shared" ref="E101:N101" si="38">SUMIFS(E23:E29,$B$23:$B$29,$AY$5)+SUMIFS(E23:E29,$B$23:$B$29,$AZ$5)</f>
        <v>0</v>
      </c>
      <c r="F101" s="613">
        <f t="shared" si="38"/>
        <v>0</v>
      </c>
      <c r="G101" s="580">
        <f t="shared" si="38"/>
        <v>0</v>
      </c>
      <c r="H101" s="613">
        <f t="shared" si="38"/>
        <v>0</v>
      </c>
      <c r="I101" s="580">
        <f t="shared" si="38"/>
        <v>0</v>
      </c>
      <c r="J101" s="613">
        <f t="shared" si="38"/>
        <v>0</v>
      </c>
      <c r="K101" s="580">
        <f t="shared" si="38"/>
        <v>0</v>
      </c>
      <c r="L101" s="613">
        <f t="shared" si="38"/>
        <v>0</v>
      </c>
      <c r="M101" s="580">
        <f t="shared" si="38"/>
        <v>0</v>
      </c>
      <c r="N101" s="613">
        <f t="shared" si="38"/>
        <v>0</v>
      </c>
      <c r="O101" s="582" t="str">
        <f>IF(E101="","                          -","Sum: "&amp;ROUND(SUMIF($E$8:$N$8,$O$8,$E101:$N101),2)&amp;" | Avg: "&amp;ROUND(AVERAGEIF($E$8:$N$8,$O$8,$E101:$N101),2))</f>
        <v>Sum: 0 | Avg: 0</v>
      </c>
      <c r="P101" s="625" t="str">
        <f>IF(F101="","                          -","Sum: "&amp;ROUND(SUMIF($E$8:$N$8,$P$8,$E101:$N101),2)&amp;" | Avg: "&amp;ROUND(AVERAGEIF($E$8:$N$8,$P$8,$E101:$N101),2))</f>
        <v>Sum: 0 | Avg: 0</v>
      </c>
      <c r="Q101" s="610" t="str">
        <f>IF(E101="","                          -","Sum: "&amp;ROUND(SUM(E101:N101),2)&amp;" | Avg: "&amp;ROUND(AVERAGE(E101:N101),2))</f>
        <v>Sum: 0 | Avg: 0</v>
      </c>
    </row>
    <row r="102" spans="1:17" x14ac:dyDescent="0.2">
      <c r="A102" s="293"/>
      <c r="B102" s="387" t="s">
        <v>146</v>
      </c>
      <c r="C102" s="388" t="s">
        <v>20</v>
      </c>
      <c r="D102" s="296"/>
      <c r="E102" s="461">
        <f t="shared" ref="E102:N102" ca="1" si="39">SUMIFS(E24:E29,$C24:$C29,"Mo. Salary",OFFSET($B$24:$B$29,-1,0),$AY$5)+SUMIFS(E24:E29,$C24:$C29,"Mo. Salary",OFFSET($B$24:$B$29,-1,0),$AZ$5)</f>
        <v>0</v>
      </c>
      <c r="F102" s="520">
        <f t="shared" ca="1" si="39"/>
        <v>0</v>
      </c>
      <c r="G102" s="461">
        <f t="shared" ca="1" si="39"/>
        <v>0</v>
      </c>
      <c r="H102" s="520">
        <f t="shared" ca="1" si="39"/>
        <v>0</v>
      </c>
      <c r="I102" s="461">
        <f t="shared" ca="1" si="39"/>
        <v>0</v>
      </c>
      <c r="J102" s="520">
        <f t="shared" ca="1" si="39"/>
        <v>0</v>
      </c>
      <c r="K102" s="461">
        <f t="shared" ca="1" si="39"/>
        <v>0</v>
      </c>
      <c r="L102" s="520">
        <f t="shared" ca="1" si="39"/>
        <v>0</v>
      </c>
      <c r="M102" s="461">
        <f t="shared" ca="1" si="39"/>
        <v>0</v>
      </c>
      <c r="N102" s="520">
        <f t="shared" ca="1" si="39"/>
        <v>0</v>
      </c>
      <c r="O102" s="538">
        <f ca="1">SUMIF($E$8:$N$8,$O$8,$E102:$N102)</f>
        <v>0</v>
      </c>
      <c r="P102" s="626">
        <f ca="1">SUMIF($E$8:$N$8,$P$8,$E102:$N102)</f>
        <v>0</v>
      </c>
      <c r="Q102" s="464">
        <f ca="1">SUM(E102:N102)</f>
        <v>0</v>
      </c>
    </row>
    <row r="103" spans="1:17" ht="13.5" thickBot="1" x14ac:dyDescent="0.25">
      <c r="A103" s="293"/>
      <c r="B103" s="389" t="str">
        <f ca="1">"Personnel Count: "&amp;SUM(COUNTIF($B$23:$B$29,$AY$5)*($Q$104&gt;0))+SUM(COUNTIF($B$23:$B$29,$AZ$5)*($Q$104&gt;0))</f>
        <v>Personnel Count: 0</v>
      </c>
      <c r="C103" s="390" t="s">
        <v>21</v>
      </c>
      <c r="D103" s="391"/>
      <c r="E103" s="581">
        <f t="shared" ref="E103:N103" ca="1" si="40">SUMIFS(E24:E29,$C24:$C29,"Fringe Rate",OFFSET($B$24:$B$29,-2,0),$AY$5)+SUMIFS(E24:E29,$C24:$C29,"Fringe Rate",OFFSET($B$24:$B$29,-2,0),$AZ$5)</f>
        <v>0</v>
      </c>
      <c r="F103" s="521">
        <f t="shared" ca="1" si="40"/>
        <v>0</v>
      </c>
      <c r="G103" s="581">
        <f t="shared" ca="1" si="40"/>
        <v>0</v>
      </c>
      <c r="H103" s="521">
        <f t="shared" ca="1" si="40"/>
        <v>0</v>
      </c>
      <c r="I103" s="581">
        <f t="shared" ca="1" si="40"/>
        <v>0</v>
      </c>
      <c r="J103" s="521">
        <f t="shared" ca="1" si="40"/>
        <v>0</v>
      </c>
      <c r="K103" s="581">
        <f t="shared" ca="1" si="40"/>
        <v>0</v>
      </c>
      <c r="L103" s="521">
        <f t="shared" ca="1" si="40"/>
        <v>0</v>
      </c>
      <c r="M103" s="581">
        <f t="shared" ca="1" si="40"/>
        <v>0</v>
      </c>
      <c r="N103" s="521">
        <f t="shared" ca="1" si="40"/>
        <v>0</v>
      </c>
      <c r="O103" s="583">
        <f ca="1">SUMIF($E$8:$N$8,$O$8,$E103:$N103)</f>
        <v>0</v>
      </c>
      <c r="P103" s="627">
        <f ca="1">SUMIF($E$8:$N$8,$P$8,$E103:$N103)</f>
        <v>0</v>
      </c>
      <c r="Q103" s="611">
        <f ca="1">SUM(E103:N103)</f>
        <v>0</v>
      </c>
    </row>
    <row r="104" spans="1:17" ht="13.5" thickTop="1" x14ac:dyDescent="0.2">
      <c r="A104" s="293"/>
      <c r="B104" s="384"/>
      <c r="C104" s="394" t="s">
        <v>0</v>
      </c>
      <c r="D104" s="312"/>
      <c r="E104" s="545">
        <f ca="1">SUM(E102:E103)</f>
        <v>0</v>
      </c>
      <c r="F104" s="522">
        <f ca="1">SUM(F102:F103)</f>
        <v>0</v>
      </c>
      <c r="G104" s="545">
        <f t="shared" ref="G104:N104" ca="1" si="41">SUM(G102:G103)</f>
        <v>0</v>
      </c>
      <c r="H104" s="522">
        <f t="shared" ca="1" si="41"/>
        <v>0</v>
      </c>
      <c r="I104" s="545">
        <f t="shared" ca="1" si="41"/>
        <v>0</v>
      </c>
      <c r="J104" s="522">
        <f t="shared" ca="1" si="41"/>
        <v>0</v>
      </c>
      <c r="K104" s="545">
        <f t="shared" ca="1" si="41"/>
        <v>0</v>
      </c>
      <c r="L104" s="522">
        <f t="shared" ca="1" si="41"/>
        <v>0</v>
      </c>
      <c r="M104" s="545">
        <f t="shared" ca="1" si="41"/>
        <v>0</v>
      </c>
      <c r="N104" s="522">
        <f t="shared" ca="1" si="41"/>
        <v>0</v>
      </c>
      <c r="O104" s="532">
        <f ca="1">SUMIF($E$8:$N$8,$O$8,$E104:$N104)</f>
        <v>0</v>
      </c>
      <c r="P104" s="628">
        <f ca="1">SUMIF($E$8:$N$8,$P$8,$E104:$N104)</f>
        <v>0</v>
      </c>
      <c r="Q104" s="517">
        <f ca="1">SUM(E104:N104)</f>
        <v>0</v>
      </c>
    </row>
    <row r="105" spans="1:17" x14ac:dyDescent="0.2">
      <c r="A105" s="293"/>
      <c r="B105" s="384"/>
      <c r="C105" s="301"/>
      <c r="D105" s="296"/>
      <c r="E105" s="580">
        <f>SUMIFS(E23:E29,$B$23:$B$29,$BA$5)+SUMIFS(E23:E29,$B$23:$B$29,$BB$5)</f>
        <v>0</v>
      </c>
      <c r="F105" s="613">
        <f>SUMIFS(F23:F29,$B$23:$B$29,$BA$5)+SUMIFS(E23:E29,$B$23:$B$29,$BB$5)</f>
        <v>0</v>
      </c>
      <c r="G105" s="580">
        <f>SUMIFS(G23:G29,$B$23:$B$29,$BA$5)+SUMIFS(G23:G29,$B$23:$B$29,$BB$5)</f>
        <v>0</v>
      </c>
      <c r="H105" s="613">
        <f>SUMIFS(H23:H29,$B$23:$B$29,$BA$5)+SUMIFS(G23:G29,$B$23:$B$29,$BB$5)</f>
        <v>0</v>
      </c>
      <c r="I105" s="580">
        <f>SUMIFS(I23:I29,$B$23:$B$29,$BA$5)+SUMIFS(I23:I29,$B$23:$B$29,$BB$5)</f>
        <v>0</v>
      </c>
      <c r="J105" s="613">
        <f>SUMIFS(J23:J29,$B$23:$B$29,$BA$5)+SUMIFS(I23:I29,$B$23:$B$29,$BB$5)</f>
        <v>0</v>
      </c>
      <c r="K105" s="580">
        <f>SUMIFS(K23:K29,$B$23:$B$29,$BA$5)+SUMIFS(K23:K29,$B$23:$B$29,$BB$5)</f>
        <v>0</v>
      </c>
      <c r="L105" s="613">
        <f>SUMIFS(L23:L29,$B$23:$B$29,$BA$5)+SUMIFS(K23:K29,$B$23:$B$29,$BB$5)</f>
        <v>0</v>
      </c>
      <c r="M105" s="580">
        <f>SUMIFS(M23:M29,$B$23:$B$29,$BA$5)+SUMIFS(M23:M29,$B$23:$B$29,$BB$5)</f>
        <v>0</v>
      </c>
      <c r="N105" s="613">
        <f>SUMIFS(N23:N29,$B$23:$B$29,$BA$5)+SUMIFS(M23:M29,$B$23:$B$29,$BB$5)</f>
        <v>0</v>
      </c>
      <c r="O105" s="582" t="str">
        <f>IF(E105="","                          -","Sum: "&amp;ROUND(SUMIF($E$8:$N$8,$O$8,$E105:$N105),2)&amp;" | Avg: "&amp;ROUND(AVERAGEIF($E$8:$N$8,$O$8,$E105:$N105),2))</f>
        <v>Sum: 0 | Avg: 0</v>
      </c>
      <c r="P105" s="625" t="str">
        <f>IF(F105="","                          -","Sum: "&amp;ROUND(SUMIF($E$8:$N$8,$P$8,$E105:$N105),2)&amp;" | Avg: "&amp;ROUND(AVERAGEIF($E$8:$N$8,$P$8,$E105:$N105),2))</f>
        <v>Sum: 0 | Avg: 0</v>
      </c>
      <c r="Q105" s="610" t="str">
        <f>IF(E105="","                          -","Sum: "&amp;ROUND(SUM(E105:N105),2)&amp;" | Avg: "&amp;ROUND(AVERAGE(E105:N105),2))</f>
        <v>Sum: 0 | Avg: 0</v>
      </c>
    </row>
    <row r="106" spans="1:17" x14ac:dyDescent="0.2">
      <c r="A106" s="293"/>
      <c r="B106" s="387" t="s">
        <v>147</v>
      </c>
      <c r="C106" s="388" t="s">
        <v>20</v>
      </c>
      <c r="D106" s="296"/>
      <c r="E106" s="461">
        <f t="shared" ref="E106:N106" ca="1" si="42">SUMIFS(E24:E29,$C24:$C29,"Mo. Salary",OFFSET($B$24:$B$29,-1,0),$BA$5)+SUMIFS(E24:E29,$C24:$C29,"Mo. Salary",OFFSET($B$24:$B$29,-1,0),$BB$5)</f>
        <v>0</v>
      </c>
      <c r="F106" s="520">
        <f t="shared" ca="1" si="42"/>
        <v>0</v>
      </c>
      <c r="G106" s="461">
        <f t="shared" ca="1" si="42"/>
        <v>0</v>
      </c>
      <c r="H106" s="520">
        <f t="shared" ca="1" si="42"/>
        <v>0</v>
      </c>
      <c r="I106" s="461">
        <f t="shared" ca="1" si="42"/>
        <v>0</v>
      </c>
      <c r="J106" s="520">
        <f t="shared" ca="1" si="42"/>
        <v>0</v>
      </c>
      <c r="K106" s="461">
        <f t="shared" ca="1" si="42"/>
        <v>0</v>
      </c>
      <c r="L106" s="520">
        <f t="shared" ca="1" si="42"/>
        <v>0</v>
      </c>
      <c r="M106" s="461">
        <f t="shared" ca="1" si="42"/>
        <v>0</v>
      </c>
      <c r="N106" s="520">
        <f t="shared" ca="1" si="42"/>
        <v>0</v>
      </c>
      <c r="O106" s="538">
        <f ca="1">SUMIF($E$8:$N$8,$O$8,$E106:$N106)</f>
        <v>0</v>
      </c>
      <c r="P106" s="626">
        <f ca="1">SUMIF($E$8:$N$8,$P$8,$E106:$N106)</f>
        <v>0</v>
      </c>
      <c r="Q106" s="464">
        <f ca="1">SUM(E106:N106)</f>
        <v>0</v>
      </c>
    </row>
    <row r="107" spans="1:17" ht="13.5" thickBot="1" x14ac:dyDescent="0.25">
      <c r="A107" s="293"/>
      <c r="B107" s="389" t="str">
        <f ca="1">"Personnel Count: "&amp;SUM(COUNTIF($B$23:$B$29,$BA$5)*($Q$108&gt;0))+SUM(COUNTIF($B$23:$B$29,$BB$5)*($Q$108&gt;0))</f>
        <v>Personnel Count: 0</v>
      </c>
      <c r="C107" s="390" t="s">
        <v>21</v>
      </c>
      <c r="D107" s="391"/>
      <c r="E107" s="581">
        <f t="shared" ref="E107:N107" ca="1" si="43">SUMIFS(E24:E29,$C24:$C29,"Fringe Rate",OFFSET($B$24:$B$29,-2,0),$BA$5)+SUMIFS(E24:E29,$C24:$C29,"Fringe Rate",OFFSET($B$24:$B$29,-2,0),$BB$5)</f>
        <v>0</v>
      </c>
      <c r="F107" s="521">
        <f t="shared" ca="1" si="43"/>
        <v>0</v>
      </c>
      <c r="G107" s="581">
        <f t="shared" ca="1" si="43"/>
        <v>0</v>
      </c>
      <c r="H107" s="521">
        <f t="shared" ca="1" si="43"/>
        <v>0</v>
      </c>
      <c r="I107" s="581">
        <f t="shared" ca="1" si="43"/>
        <v>0</v>
      </c>
      <c r="J107" s="521">
        <f t="shared" ca="1" si="43"/>
        <v>0</v>
      </c>
      <c r="K107" s="581">
        <f t="shared" ca="1" si="43"/>
        <v>0</v>
      </c>
      <c r="L107" s="521">
        <f t="shared" ca="1" si="43"/>
        <v>0</v>
      </c>
      <c r="M107" s="581">
        <f t="shared" ca="1" si="43"/>
        <v>0</v>
      </c>
      <c r="N107" s="521">
        <f t="shared" ca="1" si="43"/>
        <v>0</v>
      </c>
      <c r="O107" s="583">
        <f ca="1">SUMIF($E$8:$N$8,$O$8,$E107:$N107)</f>
        <v>0</v>
      </c>
      <c r="P107" s="627">
        <f ca="1">SUMIF($E$8:$N$8,$P$8,$E107:$N107)</f>
        <v>0</v>
      </c>
      <c r="Q107" s="611">
        <f ca="1">SUM(E107:N107)</f>
        <v>0</v>
      </c>
    </row>
    <row r="108" spans="1:17" ht="13.5" thickTop="1" x14ac:dyDescent="0.2">
      <c r="A108" s="293"/>
      <c r="B108" s="384"/>
      <c r="C108" s="394" t="s">
        <v>0</v>
      </c>
      <c r="D108" s="312"/>
      <c r="E108" s="545">
        <f ca="1">SUM(E106:E107)</f>
        <v>0</v>
      </c>
      <c r="F108" s="522">
        <f ca="1">SUM(F106:F107)</f>
        <v>0</v>
      </c>
      <c r="G108" s="545">
        <f t="shared" ref="G108:N108" ca="1" si="44">SUM(G106:G107)</f>
        <v>0</v>
      </c>
      <c r="H108" s="522">
        <f t="shared" ca="1" si="44"/>
        <v>0</v>
      </c>
      <c r="I108" s="545">
        <f t="shared" ca="1" si="44"/>
        <v>0</v>
      </c>
      <c r="J108" s="522">
        <f t="shared" ca="1" si="44"/>
        <v>0</v>
      </c>
      <c r="K108" s="545">
        <f t="shared" ca="1" si="44"/>
        <v>0</v>
      </c>
      <c r="L108" s="522">
        <f t="shared" ca="1" si="44"/>
        <v>0</v>
      </c>
      <c r="M108" s="545">
        <f t="shared" ca="1" si="44"/>
        <v>0</v>
      </c>
      <c r="N108" s="522">
        <f t="shared" ca="1" si="44"/>
        <v>0</v>
      </c>
      <c r="O108" s="532">
        <f ca="1">SUMIF($E$8:$N$8,$O$8,$E108:$N108)</f>
        <v>0</v>
      </c>
      <c r="P108" s="628">
        <f ca="1">SUMIF($E$8:$N$8,$P$8,$E108:$N108)</f>
        <v>0</v>
      </c>
      <c r="Q108" s="517">
        <f ca="1">SUM(E108:N108)</f>
        <v>0</v>
      </c>
    </row>
    <row r="109" spans="1:17" x14ac:dyDescent="0.2">
      <c r="A109" s="293"/>
      <c r="B109" s="384"/>
      <c r="C109" s="301"/>
      <c r="D109" s="296"/>
      <c r="E109" s="580">
        <f t="shared" ref="E109:N109" si="45">SUMIFS(E23:E29,$B$23:$B$29,$BC$5)</f>
        <v>0</v>
      </c>
      <c r="F109" s="613">
        <f t="shared" si="45"/>
        <v>0</v>
      </c>
      <c r="G109" s="580">
        <f t="shared" si="45"/>
        <v>0</v>
      </c>
      <c r="H109" s="613">
        <f t="shared" si="45"/>
        <v>0</v>
      </c>
      <c r="I109" s="580">
        <f t="shared" si="45"/>
        <v>0</v>
      </c>
      <c r="J109" s="613">
        <f t="shared" si="45"/>
        <v>0</v>
      </c>
      <c r="K109" s="580">
        <f t="shared" si="45"/>
        <v>0</v>
      </c>
      <c r="L109" s="613">
        <f t="shared" si="45"/>
        <v>0</v>
      </c>
      <c r="M109" s="580">
        <f t="shared" si="45"/>
        <v>0</v>
      </c>
      <c r="N109" s="613">
        <f t="shared" si="45"/>
        <v>0</v>
      </c>
      <c r="O109" s="582" t="str">
        <f>IF(E109="","                          -","Sum: "&amp;ROUND(SUMIF($E$8:$N$8,$O$8,$E109:$N109),2)&amp;" | Avg: "&amp;ROUND(AVERAGEIF($E$8:$N$8,$O$8,$E109:$N109),2))</f>
        <v>Sum: 0 | Avg: 0</v>
      </c>
      <c r="P109" s="625" t="str">
        <f>IF(F109="","                          -","Sum: "&amp;ROUND(SUMIF($E$8:$N$8,$P$8,$E109:$N109),2)&amp;" | Avg: "&amp;ROUND(AVERAGEIF($E$8:$N$8,$P$8,$E109:$N109),2))</f>
        <v>Sum: 0 | Avg: 0</v>
      </c>
      <c r="Q109" s="610" t="str">
        <f>IF(E109="","                          -","Sum: "&amp;ROUND(SUM(E109:N109),2)&amp;" | Avg: "&amp;ROUND(AVERAGE(E109:N109),2))</f>
        <v>Sum: 0 | Avg: 0</v>
      </c>
    </row>
    <row r="110" spans="1:17" x14ac:dyDescent="0.2">
      <c r="A110" s="293"/>
      <c r="B110" s="387" t="s">
        <v>148</v>
      </c>
      <c r="C110" s="388" t="s">
        <v>20</v>
      </c>
      <c r="D110" s="296"/>
      <c r="E110" s="461">
        <f t="shared" ref="E110:N110" ca="1" si="46">SUMIFS(E24:E29,$C24:$C29,"Mo. Salary",OFFSET($B$24:$B$29,-1,0),$BC$5)</f>
        <v>0</v>
      </c>
      <c r="F110" s="520">
        <f t="shared" ca="1" si="46"/>
        <v>0</v>
      </c>
      <c r="G110" s="461">
        <f t="shared" ca="1" si="46"/>
        <v>0</v>
      </c>
      <c r="H110" s="520">
        <f t="shared" ca="1" si="46"/>
        <v>0</v>
      </c>
      <c r="I110" s="461">
        <f t="shared" ca="1" si="46"/>
        <v>0</v>
      </c>
      <c r="J110" s="520">
        <f t="shared" ca="1" si="46"/>
        <v>0</v>
      </c>
      <c r="K110" s="461">
        <f t="shared" ca="1" si="46"/>
        <v>0</v>
      </c>
      <c r="L110" s="520">
        <f t="shared" ca="1" si="46"/>
        <v>0</v>
      </c>
      <c r="M110" s="461">
        <f t="shared" ca="1" si="46"/>
        <v>0</v>
      </c>
      <c r="N110" s="520">
        <f t="shared" ca="1" si="46"/>
        <v>0</v>
      </c>
      <c r="O110" s="538">
        <f ca="1">SUMIF($E$8:$N$8,$O$8,$E110:$N110)</f>
        <v>0</v>
      </c>
      <c r="P110" s="626">
        <f ca="1">SUMIF($E$8:$N$8,$P$8,$E110:$N110)</f>
        <v>0</v>
      </c>
      <c r="Q110" s="464">
        <f ca="1">SUM(E110:N110)</f>
        <v>0</v>
      </c>
    </row>
    <row r="111" spans="1:17" ht="13.5" thickBot="1" x14ac:dyDescent="0.25">
      <c r="A111" s="293"/>
      <c r="B111" s="389" t="str">
        <f ca="1">"Personnel Count: "&amp;SUM(COUNTIF($B$23:$B$29,$BC$5)*($Q$112&gt;0))</f>
        <v>Personnel Count: 0</v>
      </c>
      <c r="C111" s="390" t="s">
        <v>21</v>
      </c>
      <c r="D111" s="391"/>
      <c r="E111" s="581">
        <f t="shared" ref="E111:N111" ca="1" si="47">SUMIFS(E24:E29,$C24:$C29,"Fringe Rate",OFFSET($B$24:$B$29,-2,0),$BC$5)</f>
        <v>0</v>
      </c>
      <c r="F111" s="521">
        <f t="shared" ca="1" si="47"/>
        <v>0</v>
      </c>
      <c r="G111" s="581">
        <f t="shared" ca="1" si="47"/>
        <v>0</v>
      </c>
      <c r="H111" s="521">
        <f t="shared" ca="1" si="47"/>
        <v>0</v>
      </c>
      <c r="I111" s="581">
        <f t="shared" ca="1" si="47"/>
        <v>0</v>
      </c>
      <c r="J111" s="521">
        <f t="shared" ca="1" si="47"/>
        <v>0</v>
      </c>
      <c r="K111" s="581">
        <f t="shared" ca="1" si="47"/>
        <v>0</v>
      </c>
      <c r="L111" s="521">
        <f t="shared" ca="1" si="47"/>
        <v>0</v>
      </c>
      <c r="M111" s="581">
        <f t="shared" ca="1" si="47"/>
        <v>0</v>
      </c>
      <c r="N111" s="521">
        <f t="shared" ca="1" si="47"/>
        <v>0</v>
      </c>
      <c r="O111" s="583">
        <f ca="1">SUMIF($E$8:$N$8,$O$8,$E111:$N111)</f>
        <v>0</v>
      </c>
      <c r="P111" s="627">
        <f ca="1">SUMIF($E$8:$N$8,$P$8,$E111:$N111)</f>
        <v>0</v>
      </c>
      <c r="Q111" s="611">
        <f ca="1">SUM(E111:N111)</f>
        <v>0</v>
      </c>
    </row>
    <row r="112" spans="1:17" ht="13.5" thickTop="1" x14ac:dyDescent="0.2">
      <c r="A112" s="293"/>
      <c r="B112" s="384"/>
      <c r="C112" s="394" t="s">
        <v>0</v>
      </c>
      <c r="D112" s="312"/>
      <c r="E112" s="545">
        <f ca="1">SUM(E110:E111)</f>
        <v>0</v>
      </c>
      <c r="F112" s="522">
        <f ca="1">SUM(F110:F111)</f>
        <v>0</v>
      </c>
      <c r="G112" s="545">
        <f t="shared" ref="G112:N112" ca="1" si="48">SUM(G110:G111)</f>
        <v>0</v>
      </c>
      <c r="H112" s="522">
        <f t="shared" ca="1" si="48"/>
        <v>0</v>
      </c>
      <c r="I112" s="545">
        <f t="shared" ca="1" si="48"/>
        <v>0</v>
      </c>
      <c r="J112" s="522">
        <f t="shared" ca="1" si="48"/>
        <v>0</v>
      </c>
      <c r="K112" s="545">
        <f t="shared" ca="1" si="48"/>
        <v>0</v>
      </c>
      <c r="L112" s="522">
        <f t="shared" ca="1" si="48"/>
        <v>0</v>
      </c>
      <c r="M112" s="545">
        <f t="shared" ca="1" si="48"/>
        <v>0</v>
      </c>
      <c r="N112" s="522">
        <f t="shared" ca="1" si="48"/>
        <v>0</v>
      </c>
      <c r="O112" s="532">
        <f ca="1">SUMIF($E$8:$N$8,$O$8,$E112:$N112)</f>
        <v>0</v>
      </c>
      <c r="P112" s="628">
        <f ca="1">SUMIF($E$8:$N$8,$P$8,$E112:$N112)</f>
        <v>0</v>
      </c>
      <c r="Q112" s="517">
        <f ca="1">SUM(E112:N112)</f>
        <v>0</v>
      </c>
    </row>
    <row r="113" spans="1:17" x14ac:dyDescent="0.2">
      <c r="A113" s="293"/>
      <c r="B113" s="384"/>
      <c r="C113" s="301"/>
      <c r="D113" s="296"/>
      <c r="E113" s="580">
        <f t="shared" ref="E113:N113" si="49">SUMIFS(E23:E29,$B$23:$B$29,$BD$5)</f>
        <v>0</v>
      </c>
      <c r="F113" s="613">
        <f t="shared" si="49"/>
        <v>0</v>
      </c>
      <c r="G113" s="580">
        <f t="shared" si="49"/>
        <v>0</v>
      </c>
      <c r="H113" s="613">
        <f t="shared" si="49"/>
        <v>0</v>
      </c>
      <c r="I113" s="580">
        <f t="shared" si="49"/>
        <v>0</v>
      </c>
      <c r="J113" s="613">
        <f t="shared" si="49"/>
        <v>0</v>
      </c>
      <c r="K113" s="580">
        <f t="shared" si="49"/>
        <v>0</v>
      </c>
      <c r="L113" s="613">
        <f t="shared" si="49"/>
        <v>0</v>
      </c>
      <c r="M113" s="580">
        <f t="shared" si="49"/>
        <v>0</v>
      </c>
      <c r="N113" s="613">
        <f t="shared" si="49"/>
        <v>0</v>
      </c>
      <c r="O113" s="582" t="str">
        <f>IF(E113="","                          -","Sum: "&amp;ROUND(SUMIF($E$8:$N$8,$O$8,$E113:$N113),2)&amp;" | Avg: "&amp;ROUND(AVERAGEIF($E$8:$N$8,$O$8,$E113:$N113),2))</f>
        <v>Sum: 0 | Avg: 0</v>
      </c>
      <c r="P113" s="625" t="str">
        <f>IF(F113="","                          -","Sum: "&amp;ROUND(SUMIF($E$8:$N$8,$P$8,$E113:$N113),2)&amp;" | Avg: "&amp;ROUND(AVERAGEIF($E$8:$N$8,$P$8,$E113:$N113),2))</f>
        <v>Sum: 0 | Avg: 0</v>
      </c>
      <c r="Q113" s="610" t="str">
        <f>IF(E113="","                          -","Sum: "&amp;ROUND(SUM(E113:N113),2)&amp;" | Avg: "&amp;ROUND(AVERAGE(E113:N113),2))</f>
        <v>Sum: 0 | Avg: 0</v>
      </c>
    </row>
    <row r="114" spans="1:17" x14ac:dyDescent="0.2">
      <c r="A114" s="293"/>
      <c r="B114" s="387" t="s">
        <v>149</v>
      </c>
      <c r="C114" s="388" t="s">
        <v>20</v>
      </c>
      <c r="D114" s="296"/>
      <c r="E114" s="461">
        <f t="shared" ref="E114:N114" ca="1" si="50">SUMIFS(E24:E29,$C24:$C29,"Mo. Salary",OFFSET($B$24:$B$29,-1,0),$BD$5)</f>
        <v>0</v>
      </c>
      <c r="F114" s="520">
        <f t="shared" ca="1" si="50"/>
        <v>0</v>
      </c>
      <c r="G114" s="461">
        <f t="shared" ca="1" si="50"/>
        <v>0</v>
      </c>
      <c r="H114" s="520">
        <f t="shared" ca="1" si="50"/>
        <v>0</v>
      </c>
      <c r="I114" s="461">
        <f t="shared" ca="1" si="50"/>
        <v>0</v>
      </c>
      <c r="J114" s="520">
        <f t="shared" ca="1" si="50"/>
        <v>0</v>
      </c>
      <c r="K114" s="461">
        <f t="shared" ca="1" si="50"/>
        <v>0</v>
      </c>
      <c r="L114" s="520">
        <f t="shared" ca="1" si="50"/>
        <v>0</v>
      </c>
      <c r="M114" s="461">
        <f t="shared" ca="1" si="50"/>
        <v>0</v>
      </c>
      <c r="N114" s="520">
        <f t="shared" ca="1" si="50"/>
        <v>0</v>
      </c>
      <c r="O114" s="538">
        <f ca="1">SUMIF($E$8:$N$8,$O$8,$E114:$N114)</f>
        <v>0</v>
      </c>
      <c r="P114" s="626">
        <f ca="1">SUMIF($E$8:$N$8,$P$8,$E114:$N114)</f>
        <v>0</v>
      </c>
      <c r="Q114" s="464">
        <f ca="1">SUM(E114:N114)</f>
        <v>0</v>
      </c>
    </row>
    <row r="115" spans="1:17" ht="13.5" thickBot="1" x14ac:dyDescent="0.25">
      <c r="A115" s="293"/>
      <c r="B115" s="389" t="str">
        <f ca="1">"Personnel Count: "&amp;SUM(COUNTIF($B$23:$B$29,$BD$5)*($Q$116&gt;0))</f>
        <v>Personnel Count: 0</v>
      </c>
      <c r="C115" s="390" t="s">
        <v>21</v>
      </c>
      <c r="D115" s="391"/>
      <c r="E115" s="581">
        <f t="shared" ref="E115:N115" ca="1" si="51">SUMIFS(E24:E29,$C24:$C29,"Fringe Rate",OFFSET($B$24:$B$29,-2,0),$BD$5)</f>
        <v>0</v>
      </c>
      <c r="F115" s="521">
        <f t="shared" ca="1" si="51"/>
        <v>0</v>
      </c>
      <c r="G115" s="581">
        <f t="shared" ca="1" si="51"/>
        <v>0</v>
      </c>
      <c r="H115" s="521">
        <f t="shared" ca="1" si="51"/>
        <v>0</v>
      </c>
      <c r="I115" s="581">
        <f t="shared" ca="1" si="51"/>
        <v>0</v>
      </c>
      <c r="J115" s="521">
        <f t="shared" ca="1" si="51"/>
        <v>0</v>
      </c>
      <c r="K115" s="581">
        <f t="shared" ca="1" si="51"/>
        <v>0</v>
      </c>
      <c r="L115" s="521">
        <f t="shared" ca="1" si="51"/>
        <v>0</v>
      </c>
      <c r="M115" s="581">
        <f t="shared" ca="1" si="51"/>
        <v>0</v>
      </c>
      <c r="N115" s="521">
        <f t="shared" ca="1" si="51"/>
        <v>0</v>
      </c>
      <c r="O115" s="583">
        <f ca="1">SUMIF($E$8:$N$8,$O$8,$E115:$N115)</f>
        <v>0</v>
      </c>
      <c r="P115" s="627">
        <f ca="1">SUMIF($E$8:$N$8,$P$8,$E115:$N115)</f>
        <v>0</v>
      </c>
      <c r="Q115" s="611">
        <f ca="1">SUM(E115:N115)</f>
        <v>0</v>
      </c>
    </row>
    <row r="116" spans="1:17" ht="13.5" thickTop="1" x14ac:dyDescent="0.2">
      <c r="A116" s="293"/>
      <c r="B116" s="384"/>
      <c r="C116" s="394" t="s">
        <v>0</v>
      </c>
      <c r="D116" s="312"/>
      <c r="E116" s="545">
        <f ca="1">SUM(E114:E115)</f>
        <v>0</v>
      </c>
      <c r="F116" s="522">
        <f ca="1">SUM(F114:F115)</f>
        <v>0</v>
      </c>
      <c r="G116" s="545">
        <f t="shared" ref="G116:N116" ca="1" si="52">SUM(G114:G115)</f>
        <v>0</v>
      </c>
      <c r="H116" s="522">
        <f t="shared" ca="1" si="52"/>
        <v>0</v>
      </c>
      <c r="I116" s="545">
        <f t="shared" ca="1" si="52"/>
        <v>0</v>
      </c>
      <c r="J116" s="522">
        <f t="shared" ca="1" si="52"/>
        <v>0</v>
      </c>
      <c r="K116" s="545">
        <f t="shared" ca="1" si="52"/>
        <v>0</v>
      </c>
      <c r="L116" s="522">
        <f t="shared" ca="1" si="52"/>
        <v>0</v>
      </c>
      <c r="M116" s="545">
        <f t="shared" ca="1" si="52"/>
        <v>0</v>
      </c>
      <c r="N116" s="522">
        <f t="shared" ca="1" si="52"/>
        <v>0</v>
      </c>
      <c r="O116" s="532">
        <f ca="1">SUMIF($E$8:$N$8,$O$8,$E116:$N116)</f>
        <v>0</v>
      </c>
      <c r="P116" s="628">
        <f ca="1">SUMIF($E$8:$N$8,$P$8,$E116:$N116)</f>
        <v>0</v>
      </c>
      <c r="Q116" s="517">
        <f ca="1">SUM(E116:N116)</f>
        <v>0</v>
      </c>
    </row>
    <row r="117" spans="1:17" x14ac:dyDescent="0.2">
      <c r="A117" s="293"/>
      <c r="B117" s="387" t="str">
        <f>IF($C$7=$AT$1,"Third Party Cost Share","")</f>
        <v>Third Party Cost Share</v>
      </c>
      <c r="C117" s="301"/>
      <c r="D117" s="296"/>
      <c r="E117" s="580"/>
      <c r="F117" s="613"/>
      <c r="G117" s="580"/>
      <c r="H117" s="613"/>
      <c r="I117" s="580"/>
      <c r="J117" s="613"/>
      <c r="K117" s="580"/>
      <c r="L117" s="613"/>
      <c r="M117" s="580"/>
      <c r="N117" s="613"/>
      <c r="O117" s="584"/>
      <c r="P117" s="629"/>
      <c r="Q117" s="610"/>
    </row>
    <row r="118" spans="1:17" ht="13.5" thickBot="1" x14ac:dyDescent="0.25">
      <c r="A118" s="293"/>
      <c r="B118" s="389" t="str">
        <f>IF($C$7=$AT$1,"Source Count: "&amp;COUNTIFS(B70:B72,"&lt;&gt;",P70:P72,"&gt;0"),"")</f>
        <v>Source Count: 0</v>
      </c>
      <c r="C118" s="390"/>
      <c r="D118" s="391"/>
      <c r="E118" s="581"/>
      <c r="F118" s="521">
        <f>IF($C$7=$AT$1,SUM(F70:F72),"")</f>
        <v>0</v>
      </c>
      <c r="G118" s="581"/>
      <c r="H118" s="521">
        <f>IF($C$7=$AT$1,SUM(H70:H72),"")</f>
        <v>0</v>
      </c>
      <c r="I118" s="581"/>
      <c r="J118" s="521">
        <f>IF($C$7=$AT$1,SUM(J70:J72),"")</f>
        <v>0</v>
      </c>
      <c r="K118" s="581"/>
      <c r="L118" s="521">
        <f>IF($C$7=$AT$1,SUM(L70:L72),"")</f>
        <v>0</v>
      </c>
      <c r="M118" s="581"/>
      <c r="N118" s="521">
        <f>IF($C$7=$AT$1,SUM(N70:N72),"")</f>
        <v>0</v>
      </c>
      <c r="O118" s="583"/>
      <c r="P118" s="627">
        <f>IF($C$7=$AT$1,SUM(E118:N118),"")</f>
        <v>0</v>
      </c>
      <c r="Q118" s="611">
        <f>IF($C$7=$AT$1,SUM(E118:N118),"")</f>
        <v>0</v>
      </c>
    </row>
    <row r="119" spans="1:17" ht="14.25" thickTop="1" thickBot="1" x14ac:dyDescent="0.25">
      <c r="A119" s="314"/>
      <c r="B119" s="315"/>
      <c r="C119" s="396" t="str">
        <f>IF($C$7=$AT$1,"Total","")</f>
        <v>Total</v>
      </c>
      <c r="D119" s="397"/>
      <c r="E119" s="465"/>
      <c r="F119" s="523">
        <f>SUM(F118:F118)</f>
        <v>0</v>
      </c>
      <c r="G119" s="465"/>
      <c r="H119" s="523">
        <f>SUM(H118:H118)</f>
        <v>0</v>
      </c>
      <c r="I119" s="465"/>
      <c r="J119" s="523">
        <f>SUM(J118:J118)</f>
        <v>0</v>
      </c>
      <c r="K119" s="465"/>
      <c r="L119" s="523">
        <f>SUM(L118:L118)</f>
        <v>0</v>
      </c>
      <c r="M119" s="465"/>
      <c r="N119" s="523">
        <f>SUM(N118:N118)</f>
        <v>0</v>
      </c>
      <c r="O119" s="585"/>
      <c r="P119" s="630">
        <f>IF($C$7=$AT$1,SUM(E119:N119),"")</f>
        <v>0</v>
      </c>
      <c r="Q119" s="612">
        <f>SUM(E119:N119)</f>
        <v>0</v>
      </c>
    </row>
    <row r="120" spans="1:17" ht="13.5" thickBot="1" x14ac:dyDescent="0.25">
      <c r="J120" s="14"/>
      <c r="K120" s="14"/>
      <c r="L120" s="14"/>
      <c r="M120" s="56"/>
      <c r="N120" s="56"/>
    </row>
    <row r="121" spans="1:17" x14ac:dyDescent="0.2">
      <c r="A121" s="745" t="s">
        <v>55</v>
      </c>
      <c r="B121" s="51" t="s">
        <v>33</v>
      </c>
      <c r="C121" s="164"/>
      <c r="D121" s="164"/>
      <c r="E121" s="644">
        <f>IF(E90="TBD",0,E87/E90)</f>
        <v>0</v>
      </c>
      <c r="F121" s="53">
        <f t="shared" ref="F121:N121" si="53">IF(F90="TBD",0,F87/F90)</f>
        <v>0</v>
      </c>
      <c r="G121" s="644">
        <f t="shared" si="53"/>
        <v>0</v>
      </c>
      <c r="H121" s="53">
        <f t="shared" si="53"/>
        <v>0</v>
      </c>
      <c r="I121" s="644">
        <f t="shared" si="53"/>
        <v>0</v>
      </c>
      <c r="J121" s="53">
        <f t="shared" si="53"/>
        <v>0</v>
      </c>
      <c r="K121" s="644">
        <f t="shared" si="53"/>
        <v>0</v>
      </c>
      <c r="L121" s="53">
        <f t="shared" si="53"/>
        <v>0</v>
      </c>
      <c r="M121" s="644">
        <f t="shared" si="53"/>
        <v>0</v>
      </c>
      <c r="N121" s="53">
        <f t="shared" si="53"/>
        <v>0</v>
      </c>
      <c r="O121" s="646">
        <f>IF(O90=0,0,O87/O90)</f>
        <v>0</v>
      </c>
      <c r="P121" s="60">
        <f>IF(P90=0,0,P87/P90)</f>
        <v>0</v>
      </c>
      <c r="Q121" s="647">
        <f>IF(Q90=0,0,Q87/Q90)</f>
        <v>0</v>
      </c>
    </row>
    <row r="122" spans="1:17" ht="13.5" thickBot="1" x14ac:dyDescent="0.25">
      <c r="A122" s="774"/>
      <c r="B122" s="54" t="s">
        <v>40</v>
      </c>
      <c r="C122" s="166"/>
      <c r="D122" s="166"/>
      <c r="E122" s="645">
        <f t="shared" ref="E122:Q122" si="54">IF($C$3=$T$1,0,(E84-E42-E54-E61-SUMIF($B$57:$B$77,$B$64,E57:E77)-E76-SUMIF($B$77:$B$79,$BD$2,E77:E79)-SUMIF($B$77:$B$79,$BE$2,E77:E79))-E87)</f>
        <v>0</v>
      </c>
      <c r="F122" s="643">
        <f t="shared" si="54"/>
        <v>0</v>
      </c>
      <c r="G122" s="645">
        <f t="shared" si="54"/>
        <v>0</v>
      </c>
      <c r="H122" s="643">
        <f t="shared" si="54"/>
        <v>0</v>
      </c>
      <c r="I122" s="645">
        <f t="shared" si="54"/>
        <v>0</v>
      </c>
      <c r="J122" s="643">
        <f t="shared" si="54"/>
        <v>0</v>
      </c>
      <c r="K122" s="645">
        <f t="shared" si="54"/>
        <v>0</v>
      </c>
      <c r="L122" s="643">
        <f t="shared" si="54"/>
        <v>0</v>
      </c>
      <c r="M122" s="645">
        <f t="shared" si="54"/>
        <v>0</v>
      </c>
      <c r="N122" s="643">
        <f t="shared" si="54"/>
        <v>0</v>
      </c>
      <c r="O122" s="648">
        <f t="shared" si="54"/>
        <v>0</v>
      </c>
      <c r="P122" s="140">
        <f t="shared" si="54"/>
        <v>0</v>
      </c>
      <c r="Q122" s="649">
        <f t="shared" si="54"/>
        <v>0</v>
      </c>
    </row>
    <row r="177" spans="28:28" x14ac:dyDescent="0.2">
      <c r="AB177" s="747"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78" spans="28:28" x14ac:dyDescent="0.2">
      <c r="AB178" s="748"/>
    </row>
    <row r="179" spans="28:28" x14ac:dyDescent="0.2">
      <c r="AB179" s="748"/>
    </row>
    <row r="180" spans="28:28" x14ac:dyDescent="0.2">
      <c r="AB180" s="748"/>
    </row>
    <row r="181" spans="28:28" x14ac:dyDescent="0.2">
      <c r="AB181" s="748"/>
    </row>
  </sheetData>
  <scenarios current="5" show="1" sqref="D54">
    <scenario name="On-camp instr" locked="1" count="2" user="Grants and Contracts" comment="Created by Grants and Contracts on 6/13/96_x000a_Modified by Grants and Contracts on 6/13/96">
      <inputCells r="T1" val="0.519"/>
      <inputCells r="AG1" val="0.5"/>
    </scenario>
    <scenario name="On-camp res" locked="1" count="2" user="Grants and Contracts" comment="Created by Grants and Contracts on 6/13/96_x000a_Modified by Grants and Contracts on 6/13/96">
      <inputCells r="T1" val="0.555"/>
      <inputCells r="AG1" val="0.345"/>
    </scenario>
    <scenario name="On-camp - other" locked="1" count="2" user="Grants and Contracts" comment="Created by Grants and Contracts on 6/13/96_x000a_Modified by Grants and Contracts on 6/13/96">
      <inputCells r="T1" val="0.237"/>
      <inputCells r="AG1" val="0.513"/>
    </scenario>
    <scenario name="Off-camp instr" locked="1" count="2" user="Grants and Contracts" comment="Created by Grants and Contracts on 6/13/96">
      <inputCells r="T1" val="0.24"/>
      <inputCells r="AG1" val="0.5"/>
    </scenario>
    <scenario name="Off-camp research" locked="1" count="2" user="Grants and Contracts" comment="Created by Grants and Contracts on 6/13/96">
      <inputCells r="T1" val="0.24"/>
      <inputCells r="AG1" val="0.345"/>
    </scenario>
    <scenario name="Off-camp - other" locked="1" count="2" user="Grants and Contracts" comment="Created by Grants and Contracts on 6/13/96">
      <inputCells r="T1" val="0.187"/>
      <inputCells r="AG1" val="0.513"/>
    </scenario>
  </scenarios>
  <mergeCells count="27">
    <mergeCell ref="C65:D65"/>
    <mergeCell ref="C1:E1"/>
    <mergeCell ref="I1:M5"/>
    <mergeCell ref="C2:E2"/>
    <mergeCell ref="C3:E3"/>
    <mergeCell ref="C4:E4"/>
    <mergeCell ref="C5:E5"/>
    <mergeCell ref="O7:P7"/>
    <mergeCell ref="C48:D48"/>
    <mergeCell ref="C62:D62"/>
    <mergeCell ref="K7:L7"/>
    <mergeCell ref="M7:N7"/>
    <mergeCell ref="C7:D7"/>
    <mergeCell ref="E7:F7"/>
    <mergeCell ref="G7:H7"/>
    <mergeCell ref="I7:J7"/>
    <mergeCell ref="A121:A122"/>
    <mergeCell ref="K91:L91"/>
    <mergeCell ref="M91:N91"/>
    <mergeCell ref="AB177:AB181"/>
    <mergeCell ref="B70:C70"/>
    <mergeCell ref="B71:C71"/>
    <mergeCell ref="B77:C77"/>
    <mergeCell ref="E91:F91"/>
    <mergeCell ref="G91:H91"/>
    <mergeCell ref="I91:J91"/>
    <mergeCell ref="B78:C78"/>
  </mergeCells>
  <conditionalFormatting sqref="B22:B29">
    <cfRule type="cellIs" dxfId="30" priority="15" operator="between">
      <formula>0</formula>
      <formula>1</formula>
    </cfRule>
  </conditionalFormatting>
  <conditionalFormatting sqref="B25">
    <cfRule type="expression" dxfId="29" priority="45">
      <formula>OR($B23=$AY$5,$B23=$AZ$5,$B23=$BA$5,$B23=$BB$5)</formula>
    </cfRule>
  </conditionalFormatting>
  <conditionalFormatting sqref="B28">
    <cfRule type="expression" dxfId="28" priority="13">
      <formula>OR($B26=$AY$5,$B26=$AZ$5,$B26=$BA$5,$B26=$BB$5)</formula>
    </cfRule>
  </conditionalFormatting>
  <conditionalFormatting sqref="B88:E88">
    <cfRule type="expression" dxfId="27" priority="49">
      <formula>$H$4=$AU$2</formula>
    </cfRule>
  </conditionalFormatting>
  <conditionalFormatting sqref="B73:Q73">
    <cfRule type="expression" dxfId="26" priority="50">
      <formula>$C$7=$AT$1</formula>
    </cfRule>
  </conditionalFormatting>
  <conditionalFormatting sqref="D23">
    <cfRule type="expression" dxfId="25" priority="39">
      <formula>OR($B23=$AY$5,$B23=$AZ$5,$B23=$BA$5,$B23=$BB$5)</formula>
    </cfRule>
  </conditionalFormatting>
  <conditionalFormatting sqref="D24">
    <cfRule type="cellIs" dxfId="24" priority="29" operator="lessThanOrEqual">
      <formula>100</formula>
    </cfRule>
    <cfRule type="expression" dxfId="23" priority="44">
      <formula>OR($B23=$AW$5,$B23=$AX$5,$B23=$BC$5,$B23=$BD$5)</formula>
    </cfRule>
    <cfRule type="expression" dxfId="22" priority="46">
      <formula>OR($B23=$AY$5,$B23=$AZ$5,$B23=$BA$5,$B23=$BB$5)</formula>
    </cfRule>
  </conditionalFormatting>
  <conditionalFormatting sqref="D26">
    <cfRule type="expression" dxfId="21" priority="11">
      <formula>OR($B26=$AY$5,$B26=$AZ$5,$B26=$BA$5,$B26=$BB$5)</formula>
    </cfRule>
  </conditionalFormatting>
  <conditionalFormatting sqref="D27">
    <cfRule type="cellIs" dxfId="20" priority="10" operator="lessThanOrEqual">
      <formula>100</formula>
    </cfRule>
    <cfRule type="expression" dxfId="19" priority="12">
      <formula>OR($B26=$AW$5,$B26=$AX$5,$B26=$BC$5,$B26=$BD$5)</formula>
    </cfRule>
    <cfRule type="expression" dxfId="18" priority="14">
      <formula>OR($B26=$AY$5,$B26=$AZ$5,$B26=$BA$5,$B26=$BB$5)</formula>
    </cfRule>
  </conditionalFormatting>
  <conditionalFormatting sqref="E8:F8">
    <cfRule type="expression" dxfId="17" priority="48">
      <formula>$C$7=$AT$4</formula>
    </cfRule>
  </conditionalFormatting>
  <conditionalFormatting sqref="E39:N42 E49:N54 E61:N61 F64">
    <cfRule type="expression" dxfId="16" priority="61">
      <formula>$C$4=$AM$1</formula>
    </cfRule>
  </conditionalFormatting>
  <conditionalFormatting sqref="E77:N79">
    <cfRule type="expression" dxfId="15" priority="9">
      <formula>OR($B$77=$BD$2,$B$77=$BE$2)</formula>
    </cfRule>
  </conditionalFormatting>
  <conditionalFormatting sqref="F67">
    <cfRule type="expression" dxfId="14" priority="24">
      <formula>$C$4=$AM$1</formula>
    </cfRule>
  </conditionalFormatting>
  <conditionalFormatting sqref="F70:F71 H70:H71 J70:J71 L70:L71 N70:N71">
    <cfRule type="expression" dxfId="13" priority="54">
      <formula>$C$7=$AT$1</formula>
    </cfRule>
  </conditionalFormatting>
  <conditionalFormatting sqref="F88 H88 J88 L88 N88">
    <cfRule type="expression" dxfId="12" priority="62">
      <formula>$H$4=$AU$2</formula>
    </cfRule>
  </conditionalFormatting>
  <conditionalFormatting sqref="G88 I88 K88 M88 O88:Q88">
    <cfRule type="expression" dxfId="11" priority="63">
      <formula>$H$4=$AU$2</formula>
    </cfRule>
  </conditionalFormatting>
  <conditionalFormatting sqref="H3">
    <cfRule type="expression" dxfId="10" priority="52">
      <formula>$C$7=$AT$3</formula>
    </cfRule>
    <cfRule type="expression" dxfId="9" priority="53">
      <formula>$C$7=$AT$2</formula>
    </cfRule>
  </conditionalFormatting>
  <conditionalFormatting sqref="H3:H4 B70:C71">
    <cfRule type="expression" dxfId="8" priority="66">
      <formula>$C$7=$AT$1</formula>
    </cfRule>
  </conditionalFormatting>
  <conditionalFormatting sqref="H64">
    <cfRule type="expression" dxfId="7" priority="8">
      <formula>$C$4=$AM$1</formula>
    </cfRule>
  </conditionalFormatting>
  <conditionalFormatting sqref="H67">
    <cfRule type="expression" dxfId="6" priority="4">
      <formula>$C$4=$AM$1</formula>
    </cfRule>
  </conditionalFormatting>
  <conditionalFormatting sqref="J64">
    <cfRule type="expression" dxfId="5" priority="7">
      <formula>$C$4=$AM$1</formula>
    </cfRule>
  </conditionalFormatting>
  <conditionalFormatting sqref="J67">
    <cfRule type="expression" dxfId="4" priority="3">
      <formula>$C$4=$AM$1</formula>
    </cfRule>
  </conditionalFormatting>
  <conditionalFormatting sqref="L64">
    <cfRule type="expression" dxfId="3" priority="6">
      <formula>$C$4=$AM$1</formula>
    </cfRule>
  </conditionalFormatting>
  <conditionalFormatting sqref="L67">
    <cfRule type="expression" dxfId="2" priority="2">
      <formula>$C$4=$AM$1</formula>
    </cfRule>
  </conditionalFormatting>
  <conditionalFormatting sqref="N64">
    <cfRule type="expression" dxfId="1" priority="5">
      <formula>$C$4=$AM$1</formula>
    </cfRule>
  </conditionalFormatting>
  <conditionalFormatting sqref="N67">
    <cfRule type="expression" dxfId="0" priority="1">
      <formula>$C$4=$AM$1</formula>
    </cfRule>
  </conditionalFormatting>
  <dataValidations xWindow="710" yWindow="283" count="35">
    <dataValidation type="list" allowBlank="1" showInputMessage="1" showErrorMessage="1" sqref="C10 C22" xr:uid="{5192D042-45AB-4B96-AFFB-769A62E395E8}">
      <formula1>$AU$1:$AU$2</formula1>
    </dataValidation>
    <dataValidation type="list" allowBlank="1" showInputMessage="1" showErrorMessage="1" sqref="C7 E6" xr:uid="{7DA7A008-03EE-4730-977F-BBD6E1C7E8C9}">
      <formula1>$AT$1:$AT$4</formula1>
    </dataValidation>
    <dataValidation allowBlank="1" showInputMessage="1" showErrorMessage="1" promptTitle="DO NOT EDIT!" prompt="This field is automatically calculated." sqref="E76:N76 E63:N64 E28:N28 E16:N16 E13:N13 E25:N25 E66:N68" xr:uid="{E8E1FBF2-0817-48DD-9BAB-223E6E54F4B6}"/>
    <dataValidation allowBlank="1" showInputMessage="1" showErrorMessage="1" promptTitle="DO NOT EDIT - Except Other Basis" prompt="This field automatically calculates for F&amp;A Basis of MTDC or TDC. However, it should be updated when using an F&amp;A Basis of &quot;Other&quot;." sqref="E85:N85" xr:uid="{9CF4D6FF-184B-4DB6-A935-B4199117D6A3}"/>
    <dataValidation type="list" allowBlank="1" showInputMessage="1" showErrorMessage="1" sqref="B23 B26" xr:uid="{AD3E8A9C-8B88-42E2-AC3D-A24D9072E0EB}">
      <formula1>$AW$5:$BD$5</formula1>
    </dataValidation>
    <dataValidation type="list" allowBlank="1" showInputMessage="1" showErrorMessage="1" promptTitle="F&amp;A Cost Basis" prompt="Select the basis for the F&amp;A costs._x000a_- Full Negotiated Rate = MTDC_x000a_- Reduced Rate = TDC (including (0% or 10%)_x000a_- Non-Standard Costs Assessed F&amp;A Rate = Other" sqref="C4:E4" xr:uid="{CEF450C8-60C9-444B-9082-DBE62A0BB877}">
      <formula1>$AM$1:$AM$3</formula1>
    </dataValidation>
    <dataValidation type="list" allowBlank="1" showInputMessage="1" showErrorMessage="1" promptTitle="Project Activity Type" prompt="Select the Project Activity Type." sqref="C1:E1" xr:uid="{F2104DA8-F339-418D-A846-9DD0FBD9E041}">
      <formula1>$AI$1:$AI$6</formula1>
    </dataValidation>
    <dataValidation type="list" allowBlank="1" showInputMessage="1" showErrorMessage="1" promptTitle="Project Location" prompt="Select the Project Location." sqref="C2:E2" xr:uid="{9423E0DF-9F34-42FC-9815-EA0503FBE9FA}">
      <formula1>$AN$1:$AO$1</formula1>
    </dataValidation>
    <dataValidation type="list" allowBlank="1" showInputMessage="1" showErrorMessage="1" sqref="B11 B14" xr:uid="{FF224852-1ACA-4C87-9285-76FE441BF360}">
      <formula1>$AR$1:$AR$5</formula1>
    </dataValidation>
    <dataValidation type="list" allowBlank="1" showInputMessage="1" showErrorMessage="1" sqref="B77:B78" xr:uid="{330D1A2D-8573-4589-B48A-5BBB2327A973}">
      <formula1>$AW$2:$BH$2</formula1>
    </dataValidation>
    <dataValidation allowBlank="1" showInputMessage="1" showErrorMessage="1" promptTitle="Notes" prompt="Add notes as necessary." sqref="G1:G2 I1" xr:uid="{28D5210E-400B-49D7-A26E-D2FDED7BA92F}"/>
    <dataValidation allowBlank="1" showInputMessage="1" showErrorMessage="1" promptTitle="Applied F&amp;A Rate" prompt="If appplicable, then override the Applicable F&amp;A Rate with the F&amp;A Rate to be applied to this project." sqref="C3:E3" xr:uid="{3EDBB293-AEE2-4C9D-8484-AA59D4A8FF6E}"/>
    <dataValidation allowBlank="1" showInputMessage="1" showErrorMessage="1" promptTitle="Note" prompt="MTDC or TDC will display based on the value selected in cell I3." sqref="B85" xr:uid="{907347C0-D535-48B9-A25A-8AAF6C6B70FE}"/>
    <dataValidation allowBlank="1" showInputMessage="1" showErrorMessage="1" promptTitle="Applicable F&amp;A Rate" prompt="This field will dislpayed after inputting Activity Type and Location" sqref="T1:AA1" xr:uid="{19AA2517-CC76-4C22-B3A0-B77586DF2F40}"/>
    <dataValidation allowBlank="1" showInputMessage="1" showErrorMessage="1" promptTitle="2 CFR 200.33" prompt="Tangible personal property having a useful life of more than one year and a per-unit acquisition cost which equals or exceeds $5,000." sqref="B38" xr:uid="{8A24C102-BC52-4EC8-A7D0-F786E101E386}"/>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47:B48" xr:uid="{08195EF3-12F1-42D7-BCDC-1B74A5E726A9}"/>
    <dataValidation allowBlank="1" showInputMessage="1" showErrorMessage="1" promptTitle="2 CFR 200.92" prompt="With MTDC basis, the first $25,000 of each subaward is assessed F&amp;A costs. " sqref="B63 B66" xr:uid="{900D1552-2C06-4DBB-8F93-0E2F2BDA5890}"/>
    <dataValidation allowBlank="1" showInputMessage="1" showErrorMessage="1" promptTitle="2 CFR 200.92" prompt="Subaward" sqref="B62 B65" xr:uid="{81AB7BA6-D271-4C9C-BD03-25FE427646B7}"/>
    <dataValidation allowBlank="1" showInputMessage="1" showErrorMessage="1" promptTitle="OBFS 15" prompt="Travel Reimbursement and Per Diem: https://www.obfs.uillinois.edu/bfpp/section-15-travel/travel-reimbursement-and-per-diem" sqref="B44:B46" xr:uid="{EA01AE32-A12B-4F61-902D-86215DF7BB0C}"/>
    <dataValidation allowBlank="1" showInputMessage="1" showErrorMessage="1" promptTitle="2 CFR 200.431" prompt="Compensation-fringe benefits" sqref="B35" xr:uid="{E0D6E788-1CA6-4266-B7CE-46A8D558159E}"/>
    <dataValidation allowBlank="1" showInputMessage="1" showErrorMessage="1" promptTitle="Internal Program Rate" prompt="May be deemed as prohibited voluntary cost share by NSF." sqref="B61" xr:uid="{0EE2EFA8-1876-4D0C-9292-A70FAF1CCE8A}"/>
    <dataValidation allowBlank="1" showInputMessage="1" showErrorMessage="1" promptTitle="2 CFR 200.459" prompt="Professional Service Costs" sqref="B59" xr:uid="{9A28CF1A-1056-4261-9153-4244962FD608}"/>
    <dataValidation allowBlank="1" showInputMessage="1" showErrorMessage="1" promptTitle="2 CFR 200.330(b)" prompt="Contractor (Vendor) Costs" sqref="AY2" xr:uid="{13E23F5D-84DB-41AE-8C85-F84FB15B9E98}"/>
    <dataValidation allowBlank="1" showInputMessage="1" showErrorMessage="1" promptTitle="2 CFR 200.414 and Appendix III" prompt="Indirect (F&amp;A) costs" sqref="B87:B88" xr:uid="{D43D5A34-3B2D-4957-A0F7-8D27387DBD70}"/>
    <dataValidation allowBlank="1" showInputMessage="1" showErrorMessage="1" promptTitle="2 CFR 200.430" prompt="Compensation-personal services" sqref="B10 B22" xr:uid="{25DBEAB5-4B4B-483D-BB3A-963E03EB9E6B}"/>
    <dataValidation allowBlank="1" showInputMessage="1" showErrorMessage="1" promptTitle="2 CFR 200.461" prompt="Publication and printing costs" sqref="B58" xr:uid="{50E2AAFE-1B01-4365-B15A-A053FB6D47FE}"/>
    <dataValidation allowBlank="1" showInputMessage="1" showErrorMessage="1" promptTitle="2 CFR 200.314" prompt="Supplies" sqref="B57" xr:uid="{22996A16-24D2-4037-9BEF-FBCBD1A74426}"/>
    <dataValidation allowBlank="1" showInputMessage="1" showErrorMessage="1" promptTitle="2 CFR 200.330" prompt="Criteria for subrecipient versus contractor determination" sqref="C62 C65" xr:uid="{AD2C3EFE-3238-4AC7-ADDE-400C6892F15E}"/>
    <dataValidation allowBlank="1" showErrorMessage="1" promptTitle="2 CFR 200.75" prompt="Stipends or subsistence allowances, travel allowances, and registration fees paid to or on behalf of participants or trainees (but not employees) in connection with conferences, or training projects." sqref="B54" xr:uid="{7173D171-CBB5-4BB5-8C67-A49FD3A2E1A2}"/>
    <dataValidation allowBlank="1" showInputMessage="1" showErrorMessage="1" promptTitle="2 CFR 200.431(j)" prompt="Fringe benefits in the form of undergraduate and graduate tuition or remission of tuition for individual employees are allowable...." sqref="B76" xr:uid="{692930DB-0675-45FD-93C6-4BA78F9B6064}"/>
    <dataValidation allowBlank="1" showInputMessage="1" showErrorMessage="1" promptTitle="UIC Fringe Benefits" prompt="UIC Fringe Benefits" sqref="AH1:AH6" xr:uid="{4B987847-C1DA-496B-9998-9FAFC6D4D773}"/>
    <dataValidation allowBlank="1" showInputMessage="1" showErrorMessage="1" promptTitle="UIC Research F&amp;A Rate" prompt="UIC Research F&amp;A Rate" sqref="AL2" xr:uid="{73F1C388-EFB1-40CD-A46C-D7726D903677}"/>
    <dataValidation allowBlank="1" showInputMessage="1" showErrorMessage="1" promptTitle="UIS F&amp;A Rate" prompt="UIS F&amp;A Rate" sqref="AL4" xr:uid="{68FAAD3B-0611-4E91-8256-9DFED1DA6F16}"/>
    <dataValidation allowBlank="1" showInputMessage="1" showErrorMessage="1" promptTitle="Third Party Cost Share" prompt="All third parties, including subs" sqref="B69" xr:uid="{7DE29BFD-459C-4966-AB37-FD3FF49C208F}"/>
    <dataValidation type="list" allowBlank="1" showInputMessage="1" showErrorMessage="1" sqref="H4" xr:uid="{A6905722-F48B-4EDF-9FD5-610CC4BA75DB}">
      <formula1>$AU$1:$AU$3</formula1>
    </dataValidation>
  </dataValidations>
  <printOptions horizontalCentered="1"/>
  <pageMargins left="0.25" right="0.25" top="0.75" bottom="0.75" header="0.3" footer="0.3"/>
  <pageSetup scale="59" fitToHeight="0" orientation="portrait" r:id="rId1"/>
  <headerFooter alignWithMargins="0">
    <oddHeader>&amp;L&amp;G&amp;C&amp;"Arial,Bold"&amp;12SPA Budget Template - FY27&amp;RPage &amp;P of &amp;N</oddHeader>
    <oddFooter>&amp;LSPA v.03042026&amp;RLast Updated: &amp;D</oddFooter>
  </headerFooter>
  <rowBreaks count="1" manualBreakCount="1">
    <brk id="91" max="16383" man="1"/>
  </rowBreaks>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79998168889431442"/>
    <pageSetUpPr fitToPage="1"/>
  </sheetPr>
  <dimension ref="A1:AZ169"/>
  <sheetViews>
    <sheetView showGridLines="0" zoomScaleNormal="100" workbookViewId="0">
      <pane ySplit="10" topLeftCell="A74" activePane="bottomLeft" state="frozen"/>
      <selection activeCell="D12" sqref="D12"/>
      <selection pane="bottomLeft" activeCell="J5" sqref="J5"/>
    </sheetView>
  </sheetViews>
  <sheetFormatPr defaultColWidth="9.140625" defaultRowHeight="12.75" x14ac:dyDescent="0.2"/>
  <cols>
    <col min="1" max="1" width="3.5703125" style="18" customWidth="1"/>
    <col min="2" max="2" width="18.85546875" style="9" customWidth="1"/>
    <col min="3" max="3" width="7" style="12" customWidth="1"/>
    <col min="4" max="4" width="7.85546875" style="12" customWidth="1"/>
    <col min="5" max="5" width="13.28515625" style="10" customWidth="1"/>
    <col min="6" max="9" width="13.28515625" style="14" customWidth="1"/>
    <col min="10" max="10" width="13.28515625" style="56" customWidth="1"/>
    <col min="11" max="16" width="13.28515625" customWidth="1"/>
    <col min="17" max="17" width="38.28515625" bestFit="1" customWidth="1"/>
    <col min="18" max="19" width="9.140625" customWidth="1"/>
    <col min="20" max="20" width="7.85546875" customWidth="1"/>
    <col min="21" max="22" width="9.140625" customWidth="1"/>
  </cols>
  <sheetData>
    <row r="1" spans="1:52" ht="17.25" customHeight="1" x14ac:dyDescent="0.2">
      <c r="A1" s="145" t="s">
        <v>18</v>
      </c>
      <c r="B1" s="146"/>
      <c r="C1" s="765"/>
      <c r="D1" s="765"/>
      <c r="E1" s="765"/>
      <c r="F1" t="s">
        <v>9</v>
      </c>
      <c r="G1" s="147"/>
      <c r="H1" s="147"/>
      <c r="I1" s="147"/>
      <c r="J1" s="148" t="str">
        <f>IF(AND($C$1=$AA$4,$C$2=$AB$3),$AB$4,IF(AND($C$1=$AA$4,$C$2=$AC$3),$AC$4,IF(AND($C$1=$AA$5,$C$2=$AB$3),$AB$5,IF(AND($C$1=$AA$5,$C$2=$AC$3),$AC$5,IF(AND($C$1=$AA$6,$C$2=$AB$3),$AB$6,IF(AND($C$1=$AA$6,$C$2=$AC$3),AC6,IF($C$1=$AA$7,$AB$7,IF($C$1=$AA$8,$AB$8,IF(AND($C$1=$AA$9,$C$2=$AB$3),$AB$4,IF(AND($C$1=$AA$9,$C$2=$AC$3),$AC$4,"TBD"))))))))))</f>
        <v>TBD</v>
      </c>
      <c r="K1" s="205"/>
      <c r="M1" s="415"/>
      <c r="Q1" s="796"/>
      <c r="R1" s="796"/>
      <c r="S1" s="796"/>
      <c r="T1" s="796"/>
      <c r="U1" s="796"/>
    </row>
    <row r="2" spans="1:52" ht="17.25" customHeight="1" x14ac:dyDescent="0.2">
      <c r="A2" s="149" t="s">
        <v>17</v>
      </c>
      <c r="B2" s="150"/>
      <c r="C2" s="741"/>
      <c r="D2" s="741"/>
      <c r="E2" s="741"/>
      <c r="F2" t="s">
        <v>65</v>
      </c>
      <c r="G2" s="150"/>
      <c r="H2" s="150"/>
      <c r="I2" s="150"/>
      <c r="J2" s="151" t="str">
        <f>IF($C$1=$AA$4,"MTDC",IF($C$1=$AA$5,"MTDC",IF($C$1=$AA$6,"MTDC",IF($C$1=$AA$9,"MTDC",IF($C$1=$AA$7,"TDC",IF($C$1=$AA$8,"TDC","MTDC"))))))</f>
        <v>MTDC</v>
      </c>
      <c r="K2" s="205"/>
      <c r="M2" s="415"/>
      <c r="Q2" s="796"/>
      <c r="R2" s="796"/>
      <c r="S2" s="796"/>
      <c r="T2" s="796"/>
      <c r="U2" s="796"/>
    </row>
    <row r="3" spans="1:52" ht="17.25" customHeight="1" x14ac:dyDescent="0.2">
      <c r="A3" s="149" t="s">
        <v>35</v>
      </c>
      <c r="B3" s="150"/>
      <c r="C3" s="741" t="str">
        <f>IF(OR($C$4=0,$C$4&lt;&gt;$J$1),$AE$5,IF($C$1=$AA$8,$AE$5,IF($C$4="TBD","MTDC",$AE$4)))</f>
        <v>MTDC</v>
      </c>
      <c r="D3" s="741"/>
      <c r="E3" s="741"/>
      <c r="F3" t="s">
        <v>10</v>
      </c>
      <c r="G3" s="152"/>
      <c r="H3" s="152"/>
      <c r="I3" s="152"/>
      <c r="J3" s="151">
        <f>IF(C1="Other Sponsored Activity", 60%, 64%)</f>
        <v>0.64</v>
      </c>
      <c r="Q3" s="796"/>
      <c r="R3" s="796"/>
      <c r="S3" s="796"/>
      <c r="T3" s="796"/>
      <c r="U3" s="796"/>
      <c r="AA3" s="15"/>
      <c r="AB3" t="s">
        <v>14</v>
      </c>
      <c r="AC3" t="s">
        <v>15</v>
      </c>
      <c r="AE3" s="11" t="s">
        <v>26</v>
      </c>
      <c r="AF3" s="11" t="s">
        <v>48</v>
      </c>
    </row>
    <row r="4" spans="1:52" ht="17.25" customHeight="1" x14ac:dyDescent="0.2">
      <c r="A4" s="149" t="s">
        <v>58</v>
      </c>
      <c r="B4" s="150"/>
      <c r="C4" s="741" t="str">
        <f>J1</f>
        <v>TBD</v>
      </c>
      <c r="D4" s="741"/>
      <c r="E4" s="741"/>
      <c r="F4" t="s">
        <v>11</v>
      </c>
      <c r="G4" s="152"/>
      <c r="H4" s="152"/>
      <c r="I4" s="152"/>
      <c r="J4" s="151">
        <v>0.40889999999999999</v>
      </c>
      <c r="Q4" s="796"/>
      <c r="R4" s="796"/>
      <c r="S4" s="796"/>
      <c r="T4" s="796"/>
      <c r="U4" s="796"/>
      <c r="AA4" t="s">
        <v>59</v>
      </c>
      <c r="AB4" s="16">
        <v>0.59499999999999997</v>
      </c>
      <c r="AC4" s="16">
        <v>0.26</v>
      </c>
      <c r="AE4" s="17" t="s">
        <v>27</v>
      </c>
      <c r="AF4" s="17" t="s">
        <v>53</v>
      </c>
    </row>
    <row r="5" spans="1:52" ht="17.25" customHeight="1" x14ac:dyDescent="0.2">
      <c r="A5" s="149" t="s">
        <v>57</v>
      </c>
      <c r="B5" s="186"/>
      <c r="C5" s="806" t="str">
        <f>$C$4</f>
        <v>TBD</v>
      </c>
      <c r="D5" s="731"/>
      <c r="E5" s="731"/>
      <c r="F5" t="s">
        <v>154</v>
      </c>
      <c r="G5" s="152"/>
      <c r="H5" s="152"/>
      <c r="I5" s="152"/>
      <c r="J5" s="151">
        <v>8.5500000000000007E-2</v>
      </c>
      <c r="Q5" s="796"/>
      <c r="R5" s="796"/>
      <c r="S5" s="796"/>
      <c r="T5" s="796"/>
      <c r="U5" s="796"/>
      <c r="AA5" t="s">
        <v>60</v>
      </c>
      <c r="AB5" s="16">
        <v>0.433</v>
      </c>
      <c r="AC5" s="16">
        <v>0.26</v>
      </c>
      <c r="AE5" s="17" t="s">
        <v>28</v>
      </c>
      <c r="AF5" s="17" t="s">
        <v>54</v>
      </c>
    </row>
    <row r="6" spans="1:52" ht="17.25" customHeight="1" thickBot="1" x14ac:dyDescent="0.25">
      <c r="A6" s="187" t="s">
        <v>56</v>
      </c>
      <c r="B6" s="188"/>
      <c r="C6" s="795" t="s">
        <v>54</v>
      </c>
      <c r="D6" s="795"/>
      <c r="E6" s="795"/>
      <c r="F6" t="s">
        <v>155</v>
      </c>
      <c r="J6" s="151">
        <v>0.16200000000000001</v>
      </c>
      <c r="Q6" s="796"/>
      <c r="R6" s="796"/>
      <c r="S6" s="796"/>
      <c r="T6" s="796"/>
      <c r="U6" s="796"/>
      <c r="AA6" t="s">
        <v>16</v>
      </c>
      <c r="AB6" s="16">
        <v>0.308</v>
      </c>
      <c r="AC6" s="16">
        <v>0.219</v>
      </c>
      <c r="AE6" s="17" t="s">
        <v>61</v>
      </c>
    </row>
    <row r="7" spans="1:52" ht="17.25" customHeight="1" x14ac:dyDescent="0.2">
      <c r="A7" s="786" t="s">
        <v>107</v>
      </c>
      <c r="B7" s="787"/>
      <c r="C7" s="787"/>
      <c r="D7" s="787"/>
      <c r="E7" s="788"/>
      <c r="F7" t="s">
        <v>44</v>
      </c>
      <c r="G7" s="152"/>
      <c r="H7" s="152"/>
      <c r="I7" s="152"/>
      <c r="J7" s="153">
        <v>1E-4</v>
      </c>
      <c r="Q7" s="796"/>
      <c r="R7" s="796"/>
      <c r="S7" s="796"/>
      <c r="T7" s="796"/>
      <c r="U7" s="796"/>
      <c r="AA7" t="s">
        <v>62</v>
      </c>
      <c r="AB7" s="141">
        <v>0</v>
      </c>
      <c r="AC7" s="141"/>
    </row>
    <row r="8" spans="1:52" ht="17.25" customHeight="1" x14ac:dyDescent="0.2">
      <c r="A8" s="789"/>
      <c r="B8" s="790"/>
      <c r="C8" s="790"/>
      <c r="D8" s="790"/>
      <c r="E8" s="791"/>
      <c r="F8" t="s">
        <v>41</v>
      </c>
      <c r="G8" s="152"/>
      <c r="H8" s="152"/>
      <c r="I8" s="152"/>
      <c r="J8" s="151">
        <v>7.6600000000000001E-2</v>
      </c>
      <c r="Q8" s="796"/>
      <c r="R8" s="796"/>
      <c r="S8" s="796"/>
      <c r="T8" s="796"/>
      <c r="U8" s="796"/>
      <c r="AA8" t="s">
        <v>63</v>
      </c>
      <c r="AB8" s="141">
        <v>0.26</v>
      </c>
      <c r="AC8" s="141"/>
    </row>
    <row r="9" spans="1:52" ht="17.25" customHeight="1" x14ac:dyDescent="0.2">
      <c r="A9" s="789"/>
      <c r="B9" s="790"/>
      <c r="C9" s="790"/>
      <c r="D9" s="790"/>
      <c r="E9" s="791"/>
      <c r="F9" s="206" t="s">
        <v>38</v>
      </c>
      <c r="G9" s="152"/>
      <c r="H9" s="152"/>
      <c r="I9" s="152"/>
      <c r="J9" s="280">
        <v>0.03</v>
      </c>
      <c r="Q9" s="796"/>
      <c r="R9" s="796"/>
      <c r="S9" s="796"/>
      <c r="T9" s="796"/>
      <c r="U9" s="796"/>
      <c r="AA9" t="s">
        <v>64</v>
      </c>
      <c r="AC9" s="16"/>
    </row>
    <row r="10" spans="1:52" ht="17.25" customHeight="1" thickBot="1" x14ac:dyDescent="0.25">
      <c r="A10" s="789"/>
      <c r="B10" s="790"/>
      <c r="C10" s="790"/>
      <c r="D10" s="790"/>
      <c r="E10" s="791"/>
      <c r="F10" s="206" t="s">
        <v>39</v>
      </c>
      <c r="G10" s="194"/>
      <c r="H10" s="193"/>
      <c r="I10" s="197"/>
      <c r="J10" s="280">
        <v>0.04</v>
      </c>
      <c r="Q10" s="796"/>
      <c r="R10" s="796"/>
      <c r="S10" s="796"/>
      <c r="T10" s="796"/>
      <c r="U10" s="796"/>
    </row>
    <row r="11" spans="1:52" s="19" customFormat="1" ht="15" customHeight="1" x14ac:dyDescent="0.35">
      <c r="A11" s="285"/>
      <c r="B11" s="422"/>
      <c r="C11" s="278"/>
      <c r="D11" s="278"/>
      <c r="E11" s="805" t="s">
        <v>74</v>
      </c>
      <c r="F11" s="805"/>
      <c r="G11" s="802" t="s">
        <v>75</v>
      </c>
      <c r="H11" s="802"/>
      <c r="I11" s="802" t="s">
        <v>76</v>
      </c>
      <c r="J11" s="802"/>
      <c r="K11" s="802" t="s">
        <v>77</v>
      </c>
      <c r="L11" s="802"/>
      <c r="M11" s="802" t="s">
        <v>78</v>
      </c>
      <c r="N11" s="802"/>
      <c r="O11" s="800" t="s">
        <v>0</v>
      </c>
      <c r="P11" s="801"/>
      <c r="Q11" s="198"/>
      <c r="R11"/>
      <c r="S11"/>
      <c r="T11"/>
      <c r="U11"/>
      <c r="V11"/>
      <c r="W11"/>
      <c r="X11"/>
      <c r="Y11"/>
      <c r="Z11"/>
      <c r="AA11"/>
      <c r="AB11"/>
      <c r="AC11"/>
      <c r="AD11"/>
      <c r="AE11"/>
      <c r="AF11"/>
      <c r="AG11"/>
      <c r="AH11"/>
      <c r="AI11"/>
      <c r="AJ11"/>
      <c r="AK11"/>
      <c r="AL11"/>
      <c r="AM11"/>
      <c r="AN11"/>
      <c r="AO11"/>
      <c r="AP11"/>
      <c r="AQ11"/>
      <c r="AR11"/>
      <c r="AS11"/>
      <c r="AT11"/>
      <c r="AU11"/>
      <c r="AV11"/>
      <c r="AW11"/>
      <c r="AX11"/>
      <c r="AY11"/>
      <c r="AZ11"/>
    </row>
    <row r="12" spans="1:52" s="19" customFormat="1" ht="12.75" customHeight="1" x14ac:dyDescent="0.2">
      <c r="A12" s="20"/>
      <c r="B12" s="9"/>
      <c r="E12" s="134" t="s">
        <v>42</v>
      </c>
      <c r="F12" s="68" t="s">
        <v>43</v>
      </c>
      <c r="G12" s="134" t="s">
        <v>42</v>
      </c>
      <c r="H12" s="68" t="s">
        <v>43</v>
      </c>
      <c r="I12" s="134" t="s">
        <v>42</v>
      </c>
      <c r="J12" s="68" t="s">
        <v>43</v>
      </c>
      <c r="K12" s="134" t="s">
        <v>42</v>
      </c>
      <c r="L12" s="68" t="s">
        <v>43</v>
      </c>
      <c r="M12" s="134" t="s">
        <v>42</v>
      </c>
      <c r="N12" s="68" t="s">
        <v>43</v>
      </c>
      <c r="O12" s="67" t="s">
        <v>42</v>
      </c>
      <c r="P12" s="79" t="s">
        <v>43</v>
      </c>
      <c r="Q12" s="400" t="s">
        <v>151</v>
      </c>
      <c r="R12"/>
      <c r="S12"/>
      <c r="T12"/>
      <c r="U12"/>
      <c r="V12"/>
      <c r="W12"/>
      <c r="X12"/>
      <c r="Y12"/>
      <c r="Z12"/>
      <c r="AA12"/>
      <c r="AB12"/>
      <c r="AC12"/>
      <c r="AD12"/>
      <c r="AE12"/>
      <c r="AF12"/>
      <c r="AG12"/>
      <c r="AH12"/>
      <c r="AI12"/>
      <c r="AJ12"/>
      <c r="AK12"/>
      <c r="AL12"/>
      <c r="AM12"/>
      <c r="AN12"/>
      <c r="AO12"/>
      <c r="AP12"/>
      <c r="AQ12"/>
      <c r="AR12"/>
      <c r="AS12"/>
      <c r="AT12"/>
      <c r="AU12"/>
      <c r="AV12"/>
      <c r="AW12"/>
      <c r="AX12"/>
      <c r="AY12"/>
      <c r="AZ12"/>
    </row>
    <row r="13" spans="1:52" s="19" customFormat="1" ht="12.75" customHeight="1" x14ac:dyDescent="0.2">
      <c r="A13" s="20" t="s">
        <v>1</v>
      </c>
      <c r="B13" s="161" t="s">
        <v>86</v>
      </c>
      <c r="E13" s="223"/>
      <c r="F13" s="224"/>
      <c r="G13" s="223"/>
      <c r="H13" s="224"/>
      <c r="I13" s="223"/>
      <c r="J13" s="224"/>
      <c r="K13" s="223"/>
      <c r="L13" s="224"/>
      <c r="M13" s="223"/>
      <c r="N13" s="224"/>
      <c r="O13" s="225"/>
      <c r="P13" s="226"/>
      <c r="Q13" s="198"/>
      <c r="R13"/>
      <c r="S13"/>
      <c r="T13"/>
      <c r="U13"/>
      <c r="V13"/>
      <c r="W13"/>
      <c r="X13"/>
      <c r="Y13"/>
      <c r="Z13"/>
      <c r="AA13"/>
      <c r="AB13"/>
      <c r="AC13"/>
      <c r="AD13"/>
      <c r="AE13"/>
      <c r="AF13"/>
      <c r="AG13"/>
      <c r="AH13"/>
      <c r="AI13"/>
      <c r="AJ13"/>
      <c r="AK13"/>
      <c r="AL13"/>
      <c r="AM13"/>
      <c r="AN13"/>
      <c r="AO13"/>
      <c r="AP13"/>
      <c r="AQ13"/>
      <c r="AR13"/>
      <c r="AS13"/>
      <c r="AT13"/>
      <c r="AU13"/>
      <c r="AV13"/>
      <c r="AW13"/>
      <c r="AX13"/>
      <c r="AY13"/>
      <c r="AZ13"/>
    </row>
    <row r="14" spans="1:52" ht="12.75" customHeight="1" x14ac:dyDescent="0.2">
      <c r="A14" s="66"/>
      <c r="B14" s="142" t="s">
        <v>73</v>
      </c>
      <c r="C14" s="22" t="s">
        <v>20</v>
      </c>
      <c r="D14" s="276"/>
      <c r="E14" s="1">
        <v>0</v>
      </c>
      <c r="F14" s="69">
        <v>0</v>
      </c>
      <c r="G14" s="2">
        <f t="shared" ref="G14:N14" si="0">ROUND(E14*(1+$J$9), 0)</f>
        <v>0</v>
      </c>
      <c r="H14" s="70">
        <f t="shared" si="0"/>
        <v>0</v>
      </c>
      <c r="I14" s="2">
        <f t="shared" si="0"/>
        <v>0</v>
      </c>
      <c r="J14" s="70">
        <f t="shared" si="0"/>
        <v>0</v>
      </c>
      <c r="K14" s="2">
        <f t="shared" si="0"/>
        <v>0</v>
      </c>
      <c r="L14" s="70">
        <f t="shared" si="0"/>
        <v>0</v>
      </c>
      <c r="M14" s="2">
        <f t="shared" si="0"/>
        <v>0</v>
      </c>
      <c r="N14" s="70">
        <f t="shared" si="0"/>
        <v>0</v>
      </c>
      <c r="O14" s="61">
        <f t="shared" ref="O14:O29" si="1">SUMIF($E$12:$N$12,$O$12,E14:N14)</f>
        <v>0</v>
      </c>
      <c r="P14" s="80">
        <f t="shared" ref="P14:P29" si="2">SUMIF($E$12:$N$12,$P$12,E14:N14)</f>
        <v>0</v>
      </c>
      <c r="Q14" s="198" t="str">
        <f>B14</f>
        <v>PI/PD</v>
      </c>
      <c r="R14" s="402" t="str">
        <f>IF(B15&lt;&gt;"",B15,"-")</f>
        <v>-</v>
      </c>
    </row>
    <row r="15" spans="1:52" ht="12.75" customHeight="1" x14ac:dyDescent="0.2">
      <c r="A15" s="20"/>
      <c r="B15" s="274"/>
      <c r="C15" s="143" t="s">
        <v>21</v>
      </c>
      <c r="D15" s="144">
        <f>$J$4</f>
        <v>0.40889999999999999</v>
      </c>
      <c r="E15" s="171">
        <f t="shared" ref="E15:N15" si="3">ROUND(E14*$D15,0)</f>
        <v>0</v>
      </c>
      <c r="F15" s="184">
        <f t="shared" si="3"/>
        <v>0</v>
      </c>
      <c r="G15" s="171">
        <f t="shared" si="3"/>
        <v>0</v>
      </c>
      <c r="H15" s="184">
        <f t="shared" si="3"/>
        <v>0</v>
      </c>
      <c r="I15" s="171">
        <f t="shared" si="3"/>
        <v>0</v>
      </c>
      <c r="J15" s="184">
        <f t="shared" si="3"/>
        <v>0</v>
      </c>
      <c r="K15" s="171">
        <f t="shared" si="3"/>
        <v>0</v>
      </c>
      <c r="L15" s="184">
        <f t="shared" si="3"/>
        <v>0</v>
      </c>
      <c r="M15" s="171">
        <f t="shared" si="3"/>
        <v>0</v>
      </c>
      <c r="N15" s="184">
        <f t="shared" si="3"/>
        <v>0</v>
      </c>
      <c r="O15" s="183">
        <f t="shared" si="1"/>
        <v>0</v>
      </c>
      <c r="P15" s="185">
        <f t="shared" si="2"/>
        <v>0</v>
      </c>
      <c r="Q15" s="401">
        <f>SUM(P14:P15)</f>
        <v>0</v>
      </c>
    </row>
    <row r="16" spans="1:52" ht="12.75" customHeight="1" x14ac:dyDescent="0.2">
      <c r="A16" s="20"/>
      <c r="B16" s="142" t="s">
        <v>69</v>
      </c>
      <c r="C16" s="22" t="s">
        <v>20</v>
      </c>
      <c r="D16" s="276"/>
      <c r="E16" s="2">
        <v>0</v>
      </c>
      <c r="F16" s="70">
        <v>0</v>
      </c>
      <c r="G16" s="2">
        <f t="shared" ref="G16:N16" si="4">ROUND(E16*(1+$J$9), 0)</f>
        <v>0</v>
      </c>
      <c r="H16" s="70">
        <f t="shared" si="4"/>
        <v>0</v>
      </c>
      <c r="I16" s="2">
        <f t="shared" si="4"/>
        <v>0</v>
      </c>
      <c r="J16" s="70">
        <f t="shared" si="4"/>
        <v>0</v>
      </c>
      <c r="K16" s="2">
        <f t="shared" si="4"/>
        <v>0</v>
      </c>
      <c r="L16" s="70">
        <f t="shared" si="4"/>
        <v>0</v>
      </c>
      <c r="M16" s="2">
        <f t="shared" si="4"/>
        <v>0</v>
      </c>
      <c r="N16" s="70">
        <f t="shared" si="4"/>
        <v>0</v>
      </c>
      <c r="O16" s="61">
        <f t="shared" si="1"/>
        <v>0</v>
      </c>
      <c r="P16" s="80">
        <f t="shared" si="2"/>
        <v>0</v>
      </c>
      <c r="Q16" s="198" t="str">
        <f>B16</f>
        <v>Co-PI/Co-I 1</v>
      </c>
      <c r="R16" s="402" t="str">
        <f>IF(B17&lt;&gt;"",B17,"-")</f>
        <v>-</v>
      </c>
    </row>
    <row r="17" spans="1:52" ht="12.75" customHeight="1" x14ac:dyDescent="0.2">
      <c r="A17" s="20"/>
      <c r="B17" s="274"/>
      <c r="C17" s="143" t="s">
        <v>21</v>
      </c>
      <c r="D17" s="144">
        <f>$J$4</f>
        <v>0.40889999999999999</v>
      </c>
      <c r="E17" s="171">
        <f t="shared" ref="E17:N17" si="5">ROUND(E16*$D17,0)</f>
        <v>0</v>
      </c>
      <c r="F17" s="184">
        <f t="shared" si="5"/>
        <v>0</v>
      </c>
      <c r="G17" s="171">
        <f t="shared" si="5"/>
        <v>0</v>
      </c>
      <c r="H17" s="184">
        <f t="shared" si="5"/>
        <v>0</v>
      </c>
      <c r="I17" s="171">
        <f t="shared" si="5"/>
        <v>0</v>
      </c>
      <c r="J17" s="184">
        <f t="shared" si="5"/>
        <v>0</v>
      </c>
      <c r="K17" s="171">
        <f t="shared" si="5"/>
        <v>0</v>
      </c>
      <c r="L17" s="184">
        <f t="shared" si="5"/>
        <v>0</v>
      </c>
      <c r="M17" s="171">
        <f t="shared" si="5"/>
        <v>0</v>
      </c>
      <c r="N17" s="184">
        <f t="shared" si="5"/>
        <v>0</v>
      </c>
      <c r="O17" s="183">
        <f t="shared" si="1"/>
        <v>0</v>
      </c>
      <c r="P17" s="185">
        <f t="shared" si="2"/>
        <v>0</v>
      </c>
      <c r="Q17" s="401">
        <f>SUM(P16:P17)</f>
        <v>0</v>
      </c>
    </row>
    <row r="18" spans="1:52" ht="12.75" customHeight="1" x14ac:dyDescent="0.2">
      <c r="A18" s="20"/>
      <c r="B18" s="142" t="s">
        <v>70</v>
      </c>
      <c r="C18" s="22" t="s">
        <v>20</v>
      </c>
      <c r="D18" s="276"/>
      <c r="E18" s="2">
        <v>0</v>
      </c>
      <c r="F18" s="70">
        <v>0</v>
      </c>
      <c r="G18" s="2">
        <f t="shared" ref="G18:N18" si="6">ROUND(E18*(1+$J$9), 0)</f>
        <v>0</v>
      </c>
      <c r="H18" s="70">
        <f t="shared" si="6"/>
        <v>0</v>
      </c>
      <c r="I18" s="2">
        <f t="shared" si="6"/>
        <v>0</v>
      </c>
      <c r="J18" s="70">
        <f t="shared" si="6"/>
        <v>0</v>
      </c>
      <c r="K18" s="2">
        <f t="shared" si="6"/>
        <v>0</v>
      </c>
      <c r="L18" s="70">
        <f t="shared" si="6"/>
        <v>0</v>
      </c>
      <c r="M18" s="2">
        <f t="shared" si="6"/>
        <v>0</v>
      </c>
      <c r="N18" s="70">
        <f t="shared" si="6"/>
        <v>0</v>
      </c>
      <c r="O18" s="61">
        <f t="shared" si="1"/>
        <v>0</v>
      </c>
      <c r="P18" s="80">
        <f t="shared" si="2"/>
        <v>0</v>
      </c>
      <c r="Q18" s="198" t="str">
        <f>B18</f>
        <v>Co-PI/Co-I 2</v>
      </c>
      <c r="R18" s="402" t="str">
        <f>IF(B19&lt;&gt;"",B19,"-")</f>
        <v>-</v>
      </c>
    </row>
    <row r="19" spans="1:52" ht="12.75" customHeight="1" x14ac:dyDescent="0.2">
      <c r="A19" s="20"/>
      <c r="B19" s="274"/>
      <c r="C19" s="143" t="s">
        <v>21</v>
      </c>
      <c r="D19" s="144">
        <f>$J$4</f>
        <v>0.40889999999999999</v>
      </c>
      <c r="E19" s="171">
        <f t="shared" ref="E19:N19" si="7">ROUND(E18*$D19,0)</f>
        <v>0</v>
      </c>
      <c r="F19" s="184">
        <f t="shared" si="7"/>
        <v>0</v>
      </c>
      <c r="G19" s="171">
        <f t="shared" si="7"/>
        <v>0</v>
      </c>
      <c r="H19" s="184">
        <f t="shared" si="7"/>
        <v>0</v>
      </c>
      <c r="I19" s="171">
        <f t="shared" si="7"/>
        <v>0</v>
      </c>
      <c r="J19" s="184">
        <f t="shared" si="7"/>
        <v>0</v>
      </c>
      <c r="K19" s="171">
        <f t="shared" si="7"/>
        <v>0</v>
      </c>
      <c r="L19" s="184">
        <f t="shared" si="7"/>
        <v>0</v>
      </c>
      <c r="M19" s="171">
        <f t="shared" si="7"/>
        <v>0</v>
      </c>
      <c r="N19" s="184">
        <f t="shared" si="7"/>
        <v>0</v>
      </c>
      <c r="O19" s="183">
        <f t="shared" si="1"/>
        <v>0</v>
      </c>
      <c r="P19" s="185">
        <f t="shared" si="2"/>
        <v>0</v>
      </c>
      <c r="Q19" s="401">
        <f>SUM(P18:P19)</f>
        <v>0</v>
      </c>
    </row>
    <row r="20" spans="1:52" ht="12.75" customHeight="1" x14ac:dyDescent="0.2">
      <c r="A20" s="20"/>
      <c r="B20" s="142" t="s">
        <v>71</v>
      </c>
      <c r="C20" s="22" t="s">
        <v>20</v>
      </c>
      <c r="D20" s="276"/>
      <c r="E20" s="2">
        <v>0</v>
      </c>
      <c r="F20" s="70">
        <v>0</v>
      </c>
      <c r="G20" s="2">
        <f t="shared" ref="G20:N20" si="8">ROUND(E20*(1+$J$9), 0)</f>
        <v>0</v>
      </c>
      <c r="H20" s="70">
        <f t="shared" si="8"/>
        <v>0</v>
      </c>
      <c r="I20" s="2">
        <f t="shared" si="8"/>
        <v>0</v>
      </c>
      <c r="J20" s="70">
        <f t="shared" si="8"/>
        <v>0</v>
      </c>
      <c r="K20" s="2">
        <f t="shared" si="8"/>
        <v>0</v>
      </c>
      <c r="L20" s="70">
        <f t="shared" si="8"/>
        <v>0</v>
      </c>
      <c r="M20" s="2">
        <f t="shared" si="8"/>
        <v>0</v>
      </c>
      <c r="N20" s="70">
        <f t="shared" si="8"/>
        <v>0</v>
      </c>
      <c r="O20" s="61">
        <f t="shared" si="1"/>
        <v>0</v>
      </c>
      <c r="P20" s="80">
        <f t="shared" si="2"/>
        <v>0</v>
      </c>
      <c r="Q20" s="198" t="str">
        <f>B20</f>
        <v>Co-PI/Co-I 3</v>
      </c>
      <c r="R20" s="402" t="str">
        <f>IF(B21&lt;&gt;"",B21,"-")</f>
        <v>-</v>
      </c>
    </row>
    <row r="21" spans="1:52" ht="12.75" customHeight="1" x14ac:dyDescent="0.2">
      <c r="A21" s="20"/>
      <c r="B21" s="274"/>
      <c r="C21" s="143" t="s">
        <v>21</v>
      </c>
      <c r="D21" s="144">
        <f>$J$4</f>
        <v>0.40889999999999999</v>
      </c>
      <c r="E21" s="171">
        <f t="shared" ref="E21:N21" si="9">ROUND(E20*$D21,0)</f>
        <v>0</v>
      </c>
      <c r="F21" s="184">
        <f t="shared" si="9"/>
        <v>0</v>
      </c>
      <c r="G21" s="171">
        <f t="shared" si="9"/>
        <v>0</v>
      </c>
      <c r="H21" s="184">
        <f t="shared" si="9"/>
        <v>0</v>
      </c>
      <c r="I21" s="171">
        <f t="shared" si="9"/>
        <v>0</v>
      </c>
      <c r="J21" s="184">
        <f t="shared" si="9"/>
        <v>0</v>
      </c>
      <c r="K21" s="171">
        <f t="shared" si="9"/>
        <v>0</v>
      </c>
      <c r="L21" s="184">
        <f t="shared" si="9"/>
        <v>0</v>
      </c>
      <c r="M21" s="171">
        <f t="shared" si="9"/>
        <v>0</v>
      </c>
      <c r="N21" s="184">
        <f t="shared" si="9"/>
        <v>0</v>
      </c>
      <c r="O21" s="183">
        <f t="shared" si="1"/>
        <v>0</v>
      </c>
      <c r="P21" s="185">
        <f t="shared" si="2"/>
        <v>0</v>
      </c>
      <c r="Q21" s="401">
        <f>SUM(P20:P21)</f>
        <v>0</v>
      </c>
    </row>
    <row r="22" spans="1:52" ht="12.75" customHeight="1" x14ac:dyDescent="0.2">
      <c r="A22" s="20"/>
      <c r="B22" s="142" t="s">
        <v>72</v>
      </c>
      <c r="C22" s="22" t="s">
        <v>20</v>
      </c>
      <c r="D22" s="276"/>
      <c r="E22" s="2">
        <v>0</v>
      </c>
      <c r="F22" s="70">
        <v>0</v>
      </c>
      <c r="G22" s="2">
        <f t="shared" ref="G22:N22" si="10">ROUND(E22*(1+$J$9), 0)</f>
        <v>0</v>
      </c>
      <c r="H22" s="70">
        <f t="shared" si="10"/>
        <v>0</v>
      </c>
      <c r="I22" s="2">
        <f t="shared" si="10"/>
        <v>0</v>
      </c>
      <c r="J22" s="70">
        <f t="shared" si="10"/>
        <v>0</v>
      </c>
      <c r="K22" s="2">
        <f t="shared" si="10"/>
        <v>0</v>
      </c>
      <c r="L22" s="70">
        <f t="shared" si="10"/>
        <v>0</v>
      </c>
      <c r="M22" s="2">
        <f t="shared" si="10"/>
        <v>0</v>
      </c>
      <c r="N22" s="70">
        <f t="shared" si="10"/>
        <v>0</v>
      </c>
      <c r="O22" s="61">
        <f t="shared" si="1"/>
        <v>0</v>
      </c>
      <c r="P22" s="80">
        <f t="shared" si="2"/>
        <v>0</v>
      </c>
      <c r="Q22" s="198" t="str">
        <f>B22</f>
        <v>Co-PI/Co-I 4</v>
      </c>
      <c r="R22" s="402" t="str">
        <f>IF(B23&lt;&gt;"",B23,"-")</f>
        <v>-</v>
      </c>
    </row>
    <row r="23" spans="1:52" ht="12.75" customHeight="1" x14ac:dyDescent="0.2">
      <c r="A23" s="20"/>
      <c r="B23" s="274"/>
      <c r="C23" s="143" t="s">
        <v>21</v>
      </c>
      <c r="D23" s="144">
        <f>$J$4</f>
        <v>0.40889999999999999</v>
      </c>
      <c r="E23" s="171">
        <f t="shared" ref="E23:N23" si="11">ROUND(E22*$D23,0)</f>
        <v>0</v>
      </c>
      <c r="F23" s="184">
        <f t="shared" si="11"/>
        <v>0</v>
      </c>
      <c r="G23" s="171">
        <f t="shared" si="11"/>
        <v>0</v>
      </c>
      <c r="H23" s="184">
        <f t="shared" si="11"/>
        <v>0</v>
      </c>
      <c r="I23" s="171">
        <f t="shared" si="11"/>
        <v>0</v>
      </c>
      <c r="J23" s="184">
        <f t="shared" si="11"/>
        <v>0</v>
      </c>
      <c r="K23" s="171">
        <f t="shared" si="11"/>
        <v>0</v>
      </c>
      <c r="L23" s="184">
        <f t="shared" si="11"/>
        <v>0</v>
      </c>
      <c r="M23" s="171">
        <f t="shared" si="11"/>
        <v>0</v>
      </c>
      <c r="N23" s="184">
        <f t="shared" si="11"/>
        <v>0</v>
      </c>
      <c r="O23" s="183">
        <f t="shared" si="1"/>
        <v>0</v>
      </c>
      <c r="P23" s="185">
        <f t="shared" si="2"/>
        <v>0</v>
      </c>
      <c r="Q23" s="401">
        <f>SUM(P22:P23)</f>
        <v>0</v>
      </c>
    </row>
    <row r="24" spans="1:52" ht="12.75" customHeight="1" x14ac:dyDescent="0.2">
      <c r="A24" s="20"/>
      <c r="B24" s="21" t="s">
        <v>22</v>
      </c>
      <c r="C24" s="22" t="s">
        <v>20</v>
      </c>
      <c r="D24" s="276"/>
      <c r="E24" s="2">
        <v>0</v>
      </c>
      <c r="F24" s="70">
        <v>0</v>
      </c>
      <c r="G24" s="2">
        <f t="shared" ref="G24:N24" si="12">ROUND(E24*(1+$J$9), 0)</f>
        <v>0</v>
      </c>
      <c r="H24" s="70">
        <f t="shared" si="12"/>
        <v>0</v>
      </c>
      <c r="I24" s="2">
        <f t="shared" si="12"/>
        <v>0</v>
      </c>
      <c r="J24" s="70">
        <f t="shared" si="12"/>
        <v>0</v>
      </c>
      <c r="K24" s="2">
        <f t="shared" si="12"/>
        <v>0</v>
      </c>
      <c r="L24" s="70">
        <f t="shared" si="12"/>
        <v>0</v>
      </c>
      <c r="M24" s="2">
        <f t="shared" si="12"/>
        <v>0</v>
      </c>
      <c r="N24" s="70">
        <f t="shared" si="12"/>
        <v>0</v>
      </c>
      <c r="O24" s="61">
        <f t="shared" si="1"/>
        <v>0</v>
      </c>
      <c r="P24" s="80">
        <f t="shared" si="2"/>
        <v>0</v>
      </c>
      <c r="Q24" s="198" t="str">
        <f>B24</f>
        <v>Other Senior Personnel</v>
      </c>
      <c r="R24" s="402" t="str">
        <f>IF(B25&lt;&gt;"",B25,"-")</f>
        <v>-</v>
      </c>
      <c r="S24" s="135"/>
    </row>
    <row r="25" spans="1:52" ht="12.75" customHeight="1" x14ac:dyDescent="0.2">
      <c r="A25" s="20"/>
      <c r="B25" s="274"/>
      <c r="C25" s="143" t="s">
        <v>21</v>
      </c>
      <c r="D25" s="144">
        <f>$J$4</f>
        <v>0.40889999999999999</v>
      </c>
      <c r="E25" s="171">
        <f t="shared" ref="E25:N25" si="13">ROUND(E24*$D25,0)</f>
        <v>0</v>
      </c>
      <c r="F25" s="184">
        <f t="shared" si="13"/>
        <v>0</v>
      </c>
      <c r="G25" s="171">
        <f t="shared" si="13"/>
        <v>0</v>
      </c>
      <c r="H25" s="184">
        <f t="shared" si="13"/>
        <v>0</v>
      </c>
      <c r="I25" s="171">
        <f t="shared" si="13"/>
        <v>0</v>
      </c>
      <c r="J25" s="184">
        <f t="shared" si="13"/>
        <v>0</v>
      </c>
      <c r="K25" s="171">
        <f t="shared" si="13"/>
        <v>0</v>
      </c>
      <c r="L25" s="184">
        <f t="shared" si="13"/>
        <v>0</v>
      </c>
      <c r="M25" s="171">
        <f t="shared" si="13"/>
        <v>0</v>
      </c>
      <c r="N25" s="184">
        <f t="shared" si="13"/>
        <v>0</v>
      </c>
      <c r="O25" s="183">
        <f t="shared" si="1"/>
        <v>0</v>
      </c>
      <c r="P25" s="185">
        <f t="shared" si="2"/>
        <v>0</v>
      </c>
      <c r="Q25" s="401">
        <f>SUM(P24:P25)</f>
        <v>0</v>
      </c>
    </row>
    <row r="26" spans="1:52" ht="4.5" customHeight="1" x14ac:dyDescent="0.2">
      <c r="A26" s="20"/>
      <c r="B26" s="257"/>
      <c r="C26" s="143"/>
      <c r="D26" s="258"/>
      <c r="E26" s="259"/>
      <c r="F26" s="259"/>
      <c r="G26" s="259"/>
      <c r="H26" s="259"/>
      <c r="I26" s="259"/>
      <c r="J26" s="259"/>
      <c r="K26" s="259"/>
      <c r="L26" s="259"/>
      <c r="M26" s="259"/>
      <c r="N26" s="259"/>
      <c r="O26" s="260"/>
      <c r="P26" s="261"/>
      <c r="Q26" s="196"/>
    </row>
    <row r="27" spans="1:52" ht="11.25" customHeight="1" x14ac:dyDescent="0.2">
      <c r="A27" s="20"/>
      <c r="B27" s="204" t="s">
        <v>91</v>
      </c>
      <c r="C27" s="32" t="s">
        <v>20</v>
      </c>
      <c r="D27" s="7"/>
      <c r="E27" s="13">
        <f t="shared" ref="E27:N28" si="14">SUMIF($C$14:$C$26,$C27,E$14:E$26)</f>
        <v>0</v>
      </c>
      <c r="F27" s="71">
        <f t="shared" si="14"/>
        <v>0</v>
      </c>
      <c r="G27" s="13">
        <f t="shared" si="14"/>
        <v>0</v>
      </c>
      <c r="H27" s="71">
        <f t="shared" si="14"/>
        <v>0</v>
      </c>
      <c r="I27" s="13">
        <f t="shared" si="14"/>
        <v>0</v>
      </c>
      <c r="J27" s="71">
        <f t="shared" si="14"/>
        <v>0</v>
      </c>
      <c r="K27" s="13">
        <f t="shared" si="14"/>
        <v>0</v>
      </c>
      <c r="L27" s="71">
        <f t="shared" si="14"/>
        <v>0</v>
      </c>
      <c r="M27" s="13">
        <f t="shared" si="14"/>
        <v>0</v>
      </c>
      <c r="N27" s="71">
        <f t="shared" si="14"/>
        <v>0</v>
      </c>
      <c r="O27" s="61">
        <f t="shared" si="1"/>
        <v>0</v>
      </c>
      <c r="P27" s="80">
        <f t="shared" si="2"/>
        <v>0</v>
      </c>
      <c r="Q27" s="196"/>
    </row>
    <row r="28" spans="1:52" s="12" customFormat="1" ht="11.25" customHeight="1" x14ac:dyDescent="0.2">
      <c r="A28" s="27"/>
      <c r="B28" s="11"/>
      <c r="C28" s="59" t="s">
        <v>21</v>
      </c>
      <c r="D28" s="214"/>
      <c r="E28" s="248">
        <f t="shared" si="14"/>
        <v>0</v>
      </c>
      <c r="F28" s="265">
        <f t="shared" si="14"/>
        <v>0</v>
      </c>
      <c r="G28" s="248">
        <f t="shared" si="14"/>
        <v>0</v>
      </c>
      <c r="H28" s="265">
        <f t="shared" si="14"/>
        <v>0</v>
      </c>
      <c r="I28" s="248">
        <f t="shared" si="14"/>
        <v>0</v>
      </c>
      <c r="J28" s="265">
        <f t="shared" si="14"/>
        <v>0</v>
      </c>
      <c r="K28" s="248">
        <f t="shared" si="14"/>
        <v>0</v>
      </c>
      <c r="L28" s="265">
        <f t="shared" si="14"/>
        <v>0</v>
      </c>
      <c r="M28" s="248">
        <f t="shared" si="14"/>
        <v>0</v>
      </c>
      <c r="N28" s="265">
        <f t="shared" si="14"/>
        <v>0</v>
      </c>
      <c r="O28" s="252">
        <f t="shared" si="1"/>
        <v>0</v>
      </c>
      <c r="P28" s="266">
        <f t="shared" si="2"/>
        <v>0</v>
      </c>
      <c r="Q28" s="196"/>
      <c r="R28"/>
      <c r="S28"/>
      <c r="T28"/>
      <c r="U28"/>
      <c r="V28"/>
      <c r="W28"/>
      <c r="X28"/>
      <c r="Y28"/>
      <c r="Z28"/>
      <c r="AA28"/>
      <c r="AB28"/>
      <c r="AC28"/>
      <c r="AD28"/>
      <c r="AE28"/>
      <c r="AF28"/>
      <c r="AG28"/>
      <c r="AH28"/>
      <c r="AI28"/>
      <c r="AJ28"/>
      <c r="AK28"/>
      <c r="AL28"/>
      <c r="AM28"/>
      <c r="AN28"/>
      <c r="AO28"/>
      <c r="AP28"/>
      <c r="AQ28"/>
      <c r="AR28"/>
      <c r="AS28"/>
      <c r="AT28"/>
      <c r="AU28"/>
      <c r="AV28"/>
      <c r="AW28"/>
      <c r="AX28"/>
      <c r="AY28"/>
      <c r="AZ28"/>
    </row>
    <row r="29" spans="1:52" s="12" customFormat="1" ht="12.75" customHeight="1" x14ac:dyDescent="0.2">
      <c r="A29" s="27"/>
      <c r="B29" s="11"/>
      <c r="C29" s="32" t="s">
        <v>0</v>
      </c>
      <c r="D29" s="33"/>
      <c r="E29" s="34">
        <f>SUM(E27:E28)</f>
        <v>0</v>
      </c>
      <c r="F29" s="72">
        <f>SUM(F27:F28)</f>
        <v>0</v>
      </c>
      <c r="G29" s="34">
        <f>SUM(G27:G28)</f>
        <v>0</v>
      </c>
      <c r="H29" s="72">
        <f>SUM(H27:H28)</f>
        <v>0</v>
      </c>
      <c r="I29" s="34">
        <f t="shared" ref="I29:N29" si="15">SUM(I27:I28)</f>
        <v>0</v>
      </c>
      <c r="J29" s="72">
        <f t="shared" si="15"/>
        <v>0</v>
      </c>
      <c r="K29" s="34">
        <f t="shared" si="15"/>
        <v>0</v>
      </c>
      <c r="L29" s="72">
        <f t="shared" si="15"/>
        <v>0</v>
      </c>
      <c r="M29" s="34">
        <f t="shared" si="15"/>
        <v>0</v>
      </c>
      <c r="N29" s="72">
        <f t="shared" si="15"/>
        <v>0</v>
      </c>
      <c r="O29" s="64">
        <f t="shared" si="1"/>
        <v>0</v>
      </c>
      <c r="P29" s="82">
        <f t="shared" si="2"/>
        <v>0</v>
      </c>
      <c r="Q29" s="196"/>
      <c r="R29"/>
      <c r="S29"/>
      <c r="T29"/>
      <c r="U29"/>
      <c r="V29"/>
      <c r="W29"/>
      <c r="X29"/>
      <c r="Y29"/>
      <c r="Z29"/>
      <c r="AA29"/>
      <c r="AB29"/>
      <c r="AC29"/>
      <c r="AD29"/>
      <c r="AE29"/>
      <c r="AF29"/>
      <c r="AG29"/>
      <c r="AH29"/>
      <c r="AI29"/>
      <c r="AJ29"/>
      <c r="AK29"/>
      <c r="AL29"/>
      <c r="AM29"/>
      <c r="AN29"/>
      <c r="AO29"/>
      <c r="AP29"/>
      <c r="AQ29"/>
      <c r="AR29"/>
      <c r="AS29"/>
      <c r="AT29"/>
      <c r="AU29"/>
      <c r="AV29"/>
      <c r="AW29"/>
      <c r="AX29"/>
      <c r="AY29"/>
      <c r="AZ29"/>
    </row>
    <row r="30" spans="1:52" ht="12.75" customHeight="1" x14ac:dyDescent="0.2">
      <c r="A30" s="20" t="s">
        <v>2</v>
      </c>
      <c r="B30" s="161" t="s">
        <v>87</v>
      </c>
      <c r="C30" s="35"/>
      <c r="D30" s="35"/>
      <c r="E30" s="25"/>
      <c r="F30" s="25"/>
      <c r="G30" s="25"/>
      <c r="H30" s="25"/>
      <c r="I30" s="25"/>
      <c r="J30" s="25"/>
      <c r="K30" s="25"/>
      <c r="L30" s="25"/>
      <c r="M30" s="25"/>
      <c r="N30" s="25"/>
      <c r="O30" s="221"/>
      <c r="P30" s="222"/>
      <c r="Q30" s="196"/>
    </row>
    <row r="31" spans="1:52" ht="12.75" customHeight="1" x14ac:dyDescent="0.2">
      <c r="A31" s="20"/>
      <c r="B31" s="142" t="s">
        <v>110</v>
      </c>
      <c r="C31" s="22" t="s">
        <v>20</v>
      </c>
      <c r="D31" s="276"/>
      <c r="E31" s="2">
        <v>0</v>
      </c>
      <c r="F31" s="70">
        <v>0</v>
      </c>
      <c r="G31" s="2">
        <f t="shared" ref="G31:N31" si="16">ROUND(E31*(1+$J$9), 0)</f>
        <v>0</v>
      </c>
      <c r="H31" s="70">
        <f t="shared" si="16"/>
        <v>0</v>
      </c>
      <c r="I31" s="2">
        <f t="shared" si="16"/>
        <v>0</v>
      </c>
      <c r="J31" s="70">
        <f t="shared" si="16"/>
        <v>0</v>
      </c>
      <c r="K31" s="2">
        <f t="shared" si="16"/>
        <v>0</v>
      </c>
      <c r="L31" s="70">
        <f t="shared" si="16"/>
        <v>0</v>
      </c>
      <c r="M31" s="2">
        <f t="shared" si="16"/>
        <v>0</v>
      </c>
      <c r="N31" s="70">
        <f t="shared" si="16"/>
        <v>0</v>
      </c>
      <c r="O31" s="61">
        <f t="shared" ref="O31:O50" si="17">SUMIF($E$12:$N$12,$O$12,E31:N31)</f>
        <v>0</v>
      </c>
      <c r="P31" s="80">
        <f t="shared" ref="P31:P50" si="18">SUMIF($E$12:$N$12,$P$12,E31:N31)</f>
        <v>0</v>
      </c>
      <c r="Q31" s="198" t="str">
        <f>B31</f>
        <v>Postdoctoral Research Assistant(s)</v>
      </c>
      <c r="R31" s="402" t="str">
        <f>IF(B32&lt;&gt;"",B32,"-")</f>
        <v>-</v>
      </c>
    </row>
    <row r="32" spans="1:52" ht="12.75" customHeight="1" x14ac:dyDescent="0.2">
      <c r="A32" s="20"/>
      <c r="B32" s="274"/>
      <c r="C32" s="143" t="s">
        <v>21</v>
      </c>
      <c r="D32" s="144">
        <f>$J$4</f>
        <v>0.40889999999999999</v>
      </c>
      <c r="E32" s="171">
        <f t="shared" ref="E32:N32" si="19">ROUND(E31*$D32,0)</f>
        <v>0</v>
      </c>
      <c r="F32" s="184">
        <f t="shared" si="19"/>
        <v>0</v>
      </c>
      <c r="G32" s="171">
        <f t="shared" si="19"/>
        <v>0</v>
      </c>
      <c r="H32" s="184">
        <f t="shared" si="19"/>
        <v>0</v>
      </c>
      <c r="I32" s="171">
        <f t="shared" si="19"/>
        <v>0</v>
      </c>
      <c r="J32" s="184">
        <f t="shared" si="19"/>
        <v>0</v>
      </c>
      <c r="K32" s="171">
        <f t="shared" si="19"/>
        <v>0</v>
      </c>
      <c r="L32" s="184">
        <f t="shared" si="19"/>
        <v>0</v>
      </c>
      <c r="M32" s="171">
        <f t="shared" si="19"/>
        <v>0</v>
      </c>
      <c r="N32" s="184">
        <f t="shared" si="19"/>
        <v>0</v>
      </c>
      <c r="O32" s="183">
        <f t="shared" si="17"/>
        <v>0</v>
      </c>
      <c r="P32" s="185">
        <f t="shared" si="18"/>
        <v>0</v>
      </c>
      <c r="Q32" s="401">
        <f>SUM(P31:P32)</f>
        <v>0</v>
      </c>
    </row>
    <row r="33" spans="1:18" x14ac:dyDescent="0.2">
      <c r="A33" s="20"/>
      <c r="B33" s="21" t="s">
        <v>23</v>
      </c>
      <c r="C33" s="22" t="s">
        <v>20</v>
      </c>
      <c r="D33" s="276"/>
      <c r="E33" s="2">
        <v>0</v>
      </c>
      <c r="F33" s="70">
        <v>0</v>
      </c>
      <c r="G33" s="2">
        <f t="shared" ref="G33:N33" si="20">ROUND(E33*(1+$J$9), 0)</f>
        <v>0</v>
      </c>
      <c r="H33" s="70">
        <f t="shared" si="20"/>
        <v>0</v>
      </c>
      <c r="I33" s="2">
        <f t="shared" si="20"/>
        <v>0</v>
      </c>
      <c r="J33" s="70">
        <f t="shared" si="20"/>
        <v>0</v>
      </c>
      <c r="K33" s="2">
        <f t="shared" si="20"/>
        <v>0</v>
      </c>
      <c r="L33" s="70">
        <f t="shared" si="20"/>
        <v>0</v>
      </c>
      <c r="M33" s="2">
        <f t="shared" si="20"/>
        <v>0</v>
      </c>
      <c r="N33" s="70">
        <f t="shared" si="20"/>
        <v>0</v>
      </c>
      <c r="O33" s="61">
        <f t="shared" si="17"/>
        <v>0</v>
      </c>
      <c r="P33" s="80">
        <f t="shared" si="18"/>
        <v>0</v>
      </c>
      <c r="Q33" s="198" t="str">
        <f>B33</f>
        <v>Other Professional</v>
      </c>
      <c r="R33" s="402" t="str">
        <f>IF(B34&lt;&gt;"",B34,"-")</f>
        <v>-</v>
      </c>
    </row>
    <row r="34" spans="1:18" x14ac:dyDescent="0.2">
      <c r="A34" s="20"/>
      <c r="B34" s="274"/>
      <c r="C34" s="143" t="s">
        <v>21</v>
      </c>
      <c r="D34" s="144">
        <f>$J$4</f>
        <v>0.40889999999999999</v>
      </c>
      <c r="E34" s="171">
        <f t="shared" ref="E34:N34" si="21">ROUND(E33*$D34,0)</f>
        <v>0</v>
      </c>
      <c r="F34" s="184">
        <f t="shared" si="21"/>
        <v>0</v>
      </c>
      <c r="G34" s="171">
        <f t="shared" si="21"/>
        <v>0</v>
      </c>
      <c r="H34" s="184">
        <f t="shared" si="21"/>
        <v>0</v>
      </c>
      <c r="I34" s="171">
        <f t="shared" si="21"/>
        <v>0</v>
      </c>
      <c r="J34" s="184">
        <f t="shared" si="21"/>
        <v>0</v>
      </c>
      <c r="K34" s="171">
        <f t="shared" si="21"/>
        <v>0</v>
      </c>
      <c r="L34" s="184">
        <f t="shared" si="21"/>
        <v>0</v>
      </c>
      <c r="M34" s="171">
        <f t="shared" si="21"/>
        <v>0</v>
      </c>
      <c r="N34" s="184">
        <f t="shared" si="21"/>
        <v>0</v>
      </c>
      <c r="O34" s="183">
        <f t="shared" si="17"/>
        <v>0</v>
      </c>
      <c r="P34" s="185">
        <f t="shared" si="18"/>
        <v>0</v>
      </c>
      <c r="Q34" s="401">
        <f>SUM(P33:P34)</f>
        <v>0</v>
      </c>
    </row>
    <row r="35" spans="1:18" x14ac:dyDescent="0.2">
      <c r="A35" s="20"/>
      <c r="B35" s="142" t="s">
        <v>108</v>
      </c>
      <c r="C35" s="22" t="s">
        <v>20</v>
      </c>
      <c r="D35" s="276"/>
      <c r="E35" s="2">
        <v>0</v>
      </c>
      <c r="F35" s="70">
        <v>0</v>
      </c>
      <c r="G35" s="2">
        <f t="shared" ref="G35:N35" si="22">ROUND(E35*(1+$J$9), 0)</f>
        <v>0</v>
      </c>
      <c r="H35" s="70">
        <f t="shared" si="22"/>
        <v>0</v>
      </c>
      <c r="I35" s="2">
        <f t="shared" si="22"/>
        <v>0</v>
      </c>
      <c r="J35" s="70">
        <f t="shared" si="22"/>
        <v>0</v>
      </c>
      <c r="K35" s="2">
        <f t="shared" si="22"/>
        <v>0</v>
      </c>
      <c r="L35" s="70">
        <f t="shared" si="22"/>
        <v>0</v>
      </c>
      <c r="M35" s="2">
        <f t="shared" si="22"/>
        <v>0</v>
      </c>
      <c r="N35" s="70">
        <f t="shared" si="22"/>
        <v>0</v>
      </c>
      <c r="O35" s="61">
        <f t="shared" si="17"/>
        <v>0</v>
      </c>
      <c r="P35" s="80">
        <f t="shared" si="18"/>
        <v>0</v>
      </c>
      <c r="Q35" s="198" t="str">
        <f>B35</f>
        <v>Graduate Assistants</v>
      </c>
      <c r="R35" s="402" t="str">
        <f>IF(B36&lt;&gt;"",B36,"-")</f>
        <v>≥ Half Time Enrollment</v>
      </c>
    </row>
    <row r="36" spans="1:18" x14ac:dyDescent="0.2">
      <c r="A36" s="20"/>
      <c r="B36" s="274" t="s">
        <v>165</v>
      </c>
      <c r="C36" s="143" t="s">
        <v>21</v>
      </c>
      <c r="D36" s="144">
        <f>$J$5</f>
        <v>8.5500000000000007E-2</v>
      </c>
      <c r="E36" s="171">
        <f t="shared" ref="E36:N36" si="23">ROUND(E35*$D36,0)</f>
        <v>0</v>
      </c>
      <c r="F36" s="184">
        <f t="shared" si="23"/>
        <v>0</v>
      </c>
      <c r="G36" s="171">
        <f t="shared" si="23"/>
        <v>0</v>
      </c>
      <c r="H36" s="184">
        <f t="shared" si="23"/>
        <v>0</v>
      </c>
      <c r="I36" s="171">
        <f t="shared" si="23"/>
        <v>0</v>
      </c>
      <c r="J36" s="184">
        <f t="shared" si="23"/>
        <v>0</v>
      </c>
      <c r="K36" s="171">
        <f t="shared" si="23"/>
        <v>0</v>
      </c>
      <c r="L36" s="184">
        <f t="shared" si="23"/>
        <v>0</v>
      </c>
      <c r="M36" s="171">
        <f t="shared" si="23"/>
        <v>0</v>
      </c>
      <c r="N36" s="184">
        <f t="shared" si="23"/>
        <v>0</v>
      </c>
      <c r="O36" s="183">
        <f t="shared" si="17"/>
        <v>0</v>
      </c>
      <c r="P36" s="185">
        <f t="shared" si="18"/>
        <v>0</v>
      </c>
      <c r="Q36" s="401">
        <f>SUM(P35:P36)</f>
        <v>0</v>
      </c>
    </row>
    <row r="37" spans="1:18" x14ac:dyDescent="0.2">
      <c r="A37" s="20"/>
      <c r="B37" s="142" t="s">
        <v>108</v>
      </c>
      <c r="C37" s="22" t="s">
        <v>20</v>
      </c>
      <c r="D37" s="276"/>
      <c r="E37" s="2">
        <v>0</v>
      </c>
      <c r="F37" s="70">
        <v>0</v>
      </c>
      <c r="G37" s="2">
        <f t="shared" ref="G37:N37" si="24">ROUND(E37*(1+$J$9), 0)</f>
        <v>0</v>
      </c>
      <c r="H37" s="70">
        <f t="shared" si="24"/>
        <v>0</v>
      </c>
      <c r="I37" s="2">
        <f t="shared" si="24"/>
        <v>0</v>
      </c>
      <c r="J37" s="70">
        <f t="shared" si="24"/>
        <v>0</v>
      </c>
      <c r="K37" s="2">
        <f t="shared" si="24"/>
        <v>0</v>
      </c>
      <c r="L37" s="70">
        <f t="shared" si="24"/>
        <v>0</v>
      </c>
      <c r="M37" s="2">
        <f t="shared" si="24"/>
        <v>0</v>
      </c>
      <c r="N37" s="70">
        <f t="shared" si="24"/>
        <v>0</v>
      </c>
      <c r="O37" s="61">
        <f>SUMIF($E$12:$N$12,$O$12,E37:N37)</f>
        <v>0</v>
      </c>
      <c r="P37" s="80">
        <f>SUMIF($E$12:$N$12,$P$12,E37:N37)</f>
        <v>0</v>
      </c>
      <c r="Q37" s="198" t="str">
        <f>B37</f>
        <v>Graduate Assistants</v>
      </c>
      <c r="R37" s="402" t="str">
        <f>IF(B38&lt;&gt;"",B38,"-")</f>
        <v xml:space="preserve"> &lt; Half Time Enrollment</v>
      </c>
    </row>
    <row r="38" spans="1:18" x14ac:dyDescent="0.2">
      <c r="A38" s="20"/>
      <c r="B38" s="274" t="s">
        <v>166</v>
      </c>
      <c r="C38" s="143" t="s">
        <v>21</v>
      </c>
      <c r="D38" s="144">
        <f>$J$6</f>
        <v>0.16200000000000001</v>
      </c>
      <c r="E38" s="171">
        <f t="shared" ref="E38:N38" si="25">ROUND(E37*$D38,0)</f>
        <v>0</v>
      </c>
      <c r="F38" s="184">
        <f t="shared" si="25"/>
        <v>0</v>
      </c>
      <c r="G38" s="171">
        <f t="shared" si="25"/>
        <v>0</v>
      </c>
      <c r="H38" s="184">
        <f t="shared" si="25"/>
        <v>0</v>
      </c>
      <c r="I38" s="171">
        <f t="shared" si="25"/>
        <v>0</v>
      </c>
      <c r="J38" s="184">
        <f t="shared" si="25"/>
        <v>0</v>
      </c>
      <c r="K38" s="171">
        <f t="shared" si="25"/>
        <v>0</v>
      </c>
      <c r="L38" s="184">
        <f t="shared" si="25"/>
        <v>0</v>
      </c>
      <c r="M38" s="171">
        <f t="shared" si="25"/>
        <v>0</v>
      </c>
      <c r="N38" s="184">
        <f t="shared" si="25"/>
        <v>0</v>
      </c>
      <c r="O38" s="183">
        <f>SUMIF($E$12:$N$12,$O$12,E38:N38)</f>
        <v>0</v>
      </c>
      <c r="P38" s="185">
        <f>SUMIF($E$12:$N$12,$P$12,E38:N38)</f>
        <v>0</v>
      </c>
      <c r="Q38" s="401">
        <f>SUM(P37:P38)</f>
        <v>0</v>
      </c>
    </row>
    <row r="39" spans="1:18" x14ac:dyDescent="0.2">
      <c r="A39" s="20"/>
      <c r="B39" s="21" t="s">
        <v>24</v>
      </c>
      <c r="C39" s="22" t="s">
        <v>20</v>
      </c>
      <c r="D39" s="276"/>
      <c r="E39" s="2">
        <v>0</v>
      </c>
      <c r="F39" s="70">
        <v>0</v>
      </c>
      <c r="G39" s="2">
        <f t="shared" ref="G39:N39" si="26">ROUND(E39*(1+$J$9), 0)</f>
        <v>0</v>
      </c>
      <c r="H39" s="70">
        <f t="shared" si="26"/>
        <v>0</v>
      </c>
      <c r="I39" s="2">
        <f t="shared" si="26"/>
        <v>0</v>
      </c>
      <c r="J39" s="70">
        <f t="shared" si="26"/>
        <v>0</v>
      </c>
      <c r="K39" s="2">
        <f t="shared" si="26"/>
        <v>0</v>
      </c>
      <c r="L39" s="70">
        <f t="shared" si="26"/>
        <v>0</v>
      </c>
      <c r="M39" s="2">
        <f t="shared" si="26"/>
        <v>0</v>
      </c>
      <c r="N39" s="70">
        <f t="shared" si="26"/>
        <v>0</v>
      </c>
      <c r="O39" s="61">
        <f t="shared" si="17"/>
        <v>0</v>
      </c>
      <c r="P39" s="80">
        <f t="shared" si="18"/>
        <v>0</v>
      </c>
      <c r="Q39" s="198" t="str">
        <f>B39</f>
        <v>Student Hourly</v>
      </c>
      <c r="R39" s="402" t="str">
        <f>IF(B40&lt;&gt;"",B40,"-")</f>
        <v>≥ Half Time Enrollment</v>
      </c>
    </row>
    <row r="40" spans="1:18" x14ac:dyDescent="0.2">
      <c r="A40" s="20"/>
      <c r="B40" s="274" t="s">
        <v>165</v>
      </c>
      <c r="C40" s="143" t="s">
        <v>21</v>
      </c>
      <c r="D40" s="144">
        <f>$J$7</f>
        <v>1E-4</v>
      </c>
      <c r="E40" s="171">
        <f t="shared" ref="E40:N40" si="27">ROUND(E39*$D40,0)</f>
        <v>0</v>
      </c>
      <c r="F40" s="184">
        <f t="shared" si="27"/>
        <v>0</v>
      </c>
      <c r="G40" s="171">
        <f t="shared" si="27"/>
        <v>0</v>
      </c>
      <c r="H40" s="184">
        <f t="shared" si="27"/>
        <v>0</v>
      </c>
      <c r="I40" s="171">
        <f t="shared" si="27"/>
        <v>0</v>
      </c>
      <c r="J40" s="184">
        <f t="shared" si="27"/>
        <v>0</v>
      </c>
      <c r="K40" s="171">
        <f t="shared" si="27"/>
        <v>0</v>
      </c>
      <c r="L40" s="184">
        <f t="shared" si="27"/>
        <v>0</v>
      </c>
      <c r="M40" s="171">
        <f t="shared" si="27"/>
        <v>0</v>
      </c>
      <c r="N40" s="184">
        <f t="shared" si="27"/>
        <v>0</v>
      </c>
      <c r="O40" s="183">
        <f t="shared" si="17"/>
        <v>0</v>
      </c>
      <c r="P40" s="185">
        <f t="shared" si="18"/>
        <v>0</v>
      </c>
      <c r="Q40" s="401">
        <f>SUM(P39:P40)</f>
        <v>0</v>
      </c>
    </row>
    <row r="41" spans="1:18" x14ac:dyDescent="0.2">
      <c r="A41" s="20"/>
      <c r="B41" s="21" t="s">
        <v>24</v>
      </c>
      <c r="C41" s="22" t="s">
        <v>20</v>
      </c>
      <c r="D41" s="276"/>
      <c r="E41" s="2">
        <v>0</v>
      </c>
      <c r="F41" s="70">
        <v>0</v>
      </c>
      <c r="G41" s="2">
        <f t="shared" ref="G41:N41" si="28">ROUND(E41*(1+$J$9), 0)</f>
        <v>0</v>
      </c>
      <c r="H41" s="70">
        <f t="shared" si="28"/>
        <v>0</v>
      </c>
      <c r="I41" s="2">
        <f t="shared" si="28"/>
        <v>0</v>
      </c>
      <c r="J41" s="70">
        <f t="shared" si="28"/>
        <v>0</v>
      </c>
      <c r="K41" s="2">
        <f t="shared" si="28"/>
        <v>0</v>
      </c>
      <c r="L41" s="70">
        <f t="shared" si="28"/>
        <v>0</v>
      </c>
      <c r="M41" s="2">
        <f t="shared" si="28"/>
        <v>0</v>
      </c>
      <c r="N41" s="70">
        <f t="shared" si="28"/>
        <v>0</v>
      </c>
      <c r="O41" s="61">
        <f>SUMIF($E$12:$N$12,$O$12,E41:N41)</f>
        <v>0</v>
      </c>
      <c r="P41" s="80">
        <f>SUMIF($E$12:$N$12,$P$12,E41:N41)</f>
        <v>0</v>
      </c>
      <c r="Q41" s="198" t="str">
        <f>B41</f>
        <v>Student Hourly</v>
      </c>
      <c r="R41" s="402" t="str">
        <f>IF(B42&lt;&gt;"",B42,"-")</f>
        <v xml:space="preserve"> &lt; Half Time Enrollment</v>
      </c>
    </row>
    <row r="42" spans="1:18" x14ac:dyDescent="0.2">
      <c r="A42" s="20"/>
      <c r="B42" s="274" t="s">
        <v>166</v>
      </c>
      <c r="C42" s="143" t="s">
        <v>21</v>
      </c>
      <c r="D42" s="144">
        <f>$J$8</f>
        <v>7.6600000000000001E-2</v>
      </c>
      <c r="E42" s="171">
        <f t="shared" ref="E42:N42" si="29">ROUND(E41*$D42,0)</f>
        <v>0</v>
      </c>
      <c r="F42" s="184">
        <f t="shared" si="29"/>
        <v>0</v>
      </c>
      <c r="G42" s="171">
        <f t="shared" si="29"/>
        <v>0</v>
      </c>
      <c r="H42" s="184">
        <f t="shared" si="29"/>
        <v>0</v>
      </c>
      <c r="I42" s="171">
        <f t="shared" si="29"/>
        <v>0</v>
      </c>
      <c r="J42" s="184">
        <f t="shared" si="29"/>
        <v>0</v>
      </c>
      <c r="K42" s="171">
        <f t="shared" si="29"/>
        <v>0</v>
      </c>
      <c r="L42" s="184">
        <f t="shared" si="29"/>
        <v>0</v>
      </c>
      <c r="M42" s="171">
        <f t="shared" si="29"/>
        <v>0</v>
      </c>
      <c r="N42" s="184">
        <f t="shared" si="29"/>
        <v>0</v>
      </c>
      <c r="O42" s="183">
        <f>SUMIF($E$12:$N$12,$O$12,E42:N42)</f>
        <v>0</v>
      </c>
      <c r="P42" s="185">
        <f>SUMIF($E$12:$N$12,$P$12,E42:N42)</f>
        <v>0</v>
      </c>
      <c r="Q42" s="401">
        <f>SUM(P41:P42)</f>
        <v>0</v>
      </c>
    </row>
    <row r="43" spans="1:18" x14ac:dyDescent="0.2">
      <c r="A43" s="20"/>
      <c r="B43" s="142" t="s">
        <v>68</v>
      </c>
      <c r="C43" s="22" t="s">
        <v>20</v>
      </c>
      <c r="D43" s="276"/>
      <c r="E43" s="2">
        <v>0</v>
      </c>
      <c r="F43" s="70">
        <v>0</v>
      </c>
      <c r="G43" s="2">
        <f t="shared" ref="G43:N43" si="30">ROUND(E43*(1+$J$9), 0)</f>
        <v>0</v>
      </c>
      <c r="H43" s="70">
        <f t="shared" si="30"/>
        <v>0</v>
      </c>
      <c r="I43" s="2">
        <f t="shared" si="30"/>
        <v>0</v>
      </c>
      <c r="J43" s="70">
        <f t="shared" si="30"/>
        <v>0</v>
      </c>
      <c r="K43" s="2">
        <f t="shared" si="30"/>
        <v>0</v>
      </c>
      <c r="L43" s="70">
        <f t="shared" si="30"/>
        <v>0</v>
      </c>
      <c r="M43" s="2">
        <f t="shared" si="30"/>
        <v>0</v>
      </c>
      <c r="N43" s="70">
        <f t="shared" si="30"/>
        <v>0</v>
      </c>
      <c r="O43" s="61">
        <f t="shared" si="17"/>
        <v>0</v>
      </c>
      <c r="P43" s="80">
        <f t="shared" si="18"/>
        <v>0</v>
      </c>
      <c r="Q43" s="198" t="str">
        <f>B43</f>
        <v>Admin. Salary*</v>
      </c>
      <c r="R43" s="402" t="str">
        <f>IF(B44&lt;&gt;"",B44,"-")</f>
        <v>-</v>
      </c>
    </row>
    <row r="44" spans="1:18" x14ac:dyDescent="0.2">
      <c r="A44" s="20"/>
      <c r="B44" s="274"/>
      <c r="C44" s="143" t="s">
        <v>21</v>
      </c>
      <c r="D44" s="144">
        <f>$J$4</f>
        <v>0.40889999999999999</v>
      </c>
      <c r="E44" s="171">
        <f t="shared" ref="E44:N44" si="31">ROUND(E43*$D44,0)</f>
        <v>0</v>
      </c>
      <c r="F44" s="184">
        <f t="shared" si="31"/>
        <v>0</v>
      </c>
      <c r="G44" s="171">
        <f t="shared" si="31"/>
        <v>0</v>
      </c>
      <c r="H44" s="184">
        <f t="shared" si="31"/>
        <v>0</v>
      </c>
      <c r="I44" s="171">
        <f t="shared" si="31"/>
        <v>0</v>
      </c>
      <c r="J44" s="184">
        <f t="shared" si="31"/>
        <v>0</v>
      </c>
      <c r="K44" s="171">
        <f t="shared" si="31"/>
        <v>0</v>
      </c>
      <c r="L44" s="184">
        <f t="shared" si="31"/>
        <v>0</v>
      </c>
      <c r="M44" s="171">
        <f t="shared" si="31"/>
        <v>0</v>
      </c>
      <c r="N44" s="184">
        <f t="shared" si="31"/>
        <v>0</v>
      </c>
      <c r="O44" s="183">
        <f t="shared" si="17"/>
        <v>0</v>
      </c>
      <c r="P44" s="185">
        <f t="shared" si="18"/>
        <v>0</v>
      </c>
      <c r="Q44" s="401">
        <f>SUM(P43:P44)</f>
        <v>0</v>
      </c>
    </row>
    <row r="45" spans="1:18" x14ac:dyDescent="0.2">
      <c r="A45" s="20"/>
      <c r="B45" s="21" t="s">
        <v>25</v>
      </c>
      <c r="C45" s="22" t="s">
        <v>20</v>
      </c>
      <c r="D45" s="276"/>
      <c r="E45" s="2">
        <v>0</v>
      </c>
      <c r="F45" s="70">
        <v>0</v>
      </c>
      <c r="G45" s="2">
        <f t="shared" ref="G45:N45" si="32">ROUND(E45*(1+$J$9), 0)</f>
        <v>0</v>
      </c>
      <c r="H45" s="70">
        <f t="shared" si="32"/>
        <v>0</v>
      </c>
      <c r="I45" s="2">
        <f t="shared" si="32"/>
        <v>0</v>
      </c>
      <c r="J45" s="70">
        <f t="shared" si="32"/>
        <v>0</v>
      </c>
      <c r="K45" s="2">
        <f t="shared" si="32"/>
        <v>0</v>
      </c>
      <c r="L45" s="70">
        <f t="shared" si="32"/>
        <v>0</v>
      </c>
      <c r="M45" s="2">
        <f t="shared" si="32"/>
        <v>0</v>
      </c>
      <c r="N45" s="70">
        <f t="shared" si="32"/>
        <v>0</v>
      </c>
      <c r="O45" s="61">
        <f t="shared" si="17"/>
        <v>0</v>
      </c>
      <c r="P45" s="80">
        <f t="shared" si="18"/>
        <v>0</v>
      </c>
      <c r="Q45" s="198" t="str">
        <f>B45</f>
        <v>Other (non-SURS)</v>
      </c>
      <c r="R45" s="402" t="str">
        <f>IF(B46&lt;&gt;"",B46,"-")</f>
        <v>-</v>
      </c>
    </row>
    <row r="46" spans="1:18" x14ac:dyDescent="0.2">
      <c r="A46" s="20"/>
      <c r="B46" s="274"/>
      <c r="C46" s="143" t="s">
        <v>21</v>
      </c>
      <c r="D46" s="144">
        <f>$J$8</f>
        <v>7.6600000000000001E-2</v>
      </c>
      <c r="E46" s="171">
        <f t="shared" ref="E46:N46" si="33">ROUND(E45*$D46,0)</f>
        <v>0</v>
      </c>
      <c r="F46" s="184">
        <f t="shared" si="33"/>
        <v>0</v>
      </c>
      <c r="G46" s="171">
        <f t="shared" si="33"/>
        <v>0</v>
      </c>
      <c r="H46" s="184">
        <f t="shared" si="33"/>
        <v>0</v>
      </c>
      <c r="I46" s="171">
        <f t="shared" si="33"/>
        <v>0</v>
      </c>
      <c r="J46" s="184">
        <f t="shared" si="33"/>
        <v>0</v>
      </c>
      <c r="K46" s="171">
        <f t="shared" si="33"/>
        <v>0</v>
      </c>
      <c r="L46" s="184">
        <f t="shared" si="33"/>
        <v>0</v>
      </c>
      <c r="M46" s="171">
        <f t="shared" si="33"/>
        <v>0</v>
      </c>
      <c r="N46" s="184">
        <f t="shared" si="33"/>
        <v>0</v>
      </c>
      <c r="O46" s="183">
        <f t="shared" si="17"/>
        <v>0</v>
      </c>
      <c r="P46" s="185">
        <f t="shared" si="18"/>
        <v>0</v>
      </c>
      <c r="Q46" s="401">
        <f>SUM(P45:P46)</f>
        <v>0</v>
      </c>
    </row>
    <row r="47" spans="1:18" ht="4.5" customHeight="1" x14ac:dyDescent="0.2">
      <c r="A47" s="20"/>
      <c r="B47" s="257"/>
      <c r="C47" s="143"/>
      <c r="D47" s="258"/>
      <c r="E47" s="259"/>
      <c r="F47" s="259"/>
      <c r="G47" s="259"/>
      <c r="H47" s="259"/>
      <c r="I47" s="259"/>
      <c r="J47" s="259"/>
      <c r="K47" s="259"/>
      <c r="L47" s="259"/>
      <c r="M47" s="259"/>
      <c r="N47" s="259"/>
      <c r="O47" s="260"/>
      <c r="P47" s="261"/>
    </row>
    <row r="48" spans="1:18" x14ac:dyDescent="0.2">
      <c r="A48" s="20"/>
      <c r="B48" s="204" t="s">
        <v>91</v>
      </c>
      <c r="C48" s="32" t="s">
        <v>20</v>
      </c>
      <c r="D48" s="7"/>
      <c r="E48" s="13">
        <f t="shared" ref="E48:N49" si="34">SUMIF($C$31:$C$47,$C48,E$31:E$47)</f>
        <v>0</v>
      </c>
      <c r="F48" s="71">
        <f t="shared" si="34"/>
        <v>0</v>
      </c>
      <c r="G48" s="13">
        <f t="shared" si="34"/>
        <v>0</v>
      </c>
      <c r="H48" s="71">
        <f t="shared" si="34"/>
        <v>0</v>
      </c>
      <c r="I48" s="13">
        <f t="shared" si="34"/>
        <v>0</v>
      </c>
      <c r="J48" s="71">
        <f t="shared" si="34"/>
        <v>0</v>
      </c>
      <c r="K48" s="13">
        <f t="shared" si="34"/>
        <v>0</v>
      </c>
      <c r="L48" s="71">
        <f t="shared" si="34"/>
        <v>0</v>
      </c>
      <c r="M48" s="13">
        <f t="shared" si="34"/>
        <v>0</v>
      </c>
      <c r="N48" s="71">
        <f t="shared" si="34"/>
        <v>0</v>
      </c>
      <c r="O48" s="61">
        <f t="shared" si="17"/>
        <v>0</v>
      </c>
      <c r="P48" s="80">
        <f t="shared" si="18"/>
        <v>0</v>
      </c>
    </row>
    <row r="49" spans="1:16" x14ac:dyDescent="0.2">
      <c r="A49" s="20"/>
      <c r="B49" s="21"/>
      <c r="C49" s="59" t="s">
        <v>21</v>
      </c>
      <c r="D49" s="213"/>
      <c r="E49" s="248">
        <f t="shared" si="34"/>
        <v>0</v>
      </c>
      <c r="F49" s="265">
        <f t="shared" si="34"/>
        <v>0</v>
      </c>
      <c r="G49" s="248">
        <f t="shared" si="34"/>
        <v>0</v>
      </c>
      <c r="H49" s="265">
        <f t="shared" si="34"/>
        <v>0</v>
      </c>
      <c r="I49" s="248">
        <f t="shared" si="34"/>
        <v>0</v>
      </c>
      <c r="J49" s="265">
        <f t="shared" si="34"/>
        <v>0</v>
      </c>
      <c r="K49" s="248">
        <f t="shared" si="34"/>
        <v>0</v>
      </c>
      <c r="L49" s="265">
        <f t="shared" si="34"/>
        <v>0</v>
      </c>
      <c r="M49" s="248">
        <f t="shared" si="34"/>
        <v>0</v>
      </c>
      <c r="N49" s="265">
        <f t="shared" si="34"/>
        <v>0</v>
      </c>
      <c r="O49" s="252">
        <f t="shared" si="17"/>
        <v>0</v>
      </c>
      <c r="P49" s="266">
        <f t="shared" si="18"/>
        <v>0</v>
      </c>
    </row>
    <row r="50" spans="1:16" x14ac:dyDescent="0.2">
      <c r="A50" s="20"/>
      <c r="C50" s="32" t="s">
        <v>0</v>
      </c>
      <c r="D50" s="26"/>
      <c r="E50" s="34">
        <f>SUM(E48:E49)</f>
        <v>0</v>
      </c>
      <c r="F50" s="72">
        <f>SUM(F48:F49)</f>
        <v>0</v>
      </c>
      <c r="G50" s="34">
        <f>SUM(G48:G49)</f>
        <v>0</v>
      </c>
      <c r="H50" s="72">
        <f>SUM(H48:H49)</f>
        <v>0</v>
      </c>
      <c r="I50" s="34">
        <f t="shared" ref="I50:N50" si="35">SUM(I48:I49)</f>
        <v>0</v>
      </c>
      <c r="J50" s="72">
        <f t="shared" si="35"/>
        <v>0</v>
      </c>
      <c r="K50" s="34">
        <f t="shared" si="35"/>
        <v>0</v>
      </c>
      <c r="L50" s="72">
        <f t="shared" si="35"/>
        <v>0</v>
      </c>
      <c r="M50" s="34">
        <f t="shared" si="35"/>
        <v>0</v>
      </c>
      <c r="N50" s="72">
        <f t="shared" si="35"/>
        <v>0</v>
      </c>
      <c r="O50" s="64">
        <f t="shared" si="17"/>
        <v>0</v>
      </c>
      <c r="P50" s="82">
        <f t="shared" si="18"/>
        <v>0</v>
      </c>
    </row>
    <row r="51" spans="1:16" ht="3" customHeight="1" x14ac:dyDescent="0.2">
      <c r="A51" s="20"/>
      <c r="C51" s="26"/>
      <c r="D51" s="26"/>
      <c r="E51" s="31"/>
      <c r="F51" s="31"/>
      <c r="G51" s="31"/>
      <c r="H51" s="31"/>
      <c r="I51" s="31"/>
      <c r="J51" s="31"/>
      <c r="K51" s="31"/>
      <c r="L51" s="31"/>
      <c r="M51" s="31"/>
      <c r="N51" s="31"/>
      <c r="O51" s="227"/>
      <c r="P51" s="228"/>
    </row>
    <row r="52" spans="1:16" x14ac:dyDescent="0.2">
      <c r="A52" s="20"/>
      <c r="C52" s="32" t="s">
        <v>20</v>
      </c>
      <c r="D52" s="26"/>
      <c r="E52" s="13">
        <f t="shared" ref="E52:N52" si="36">E27+E48</f>
        <v>0</v>
      </c>
      <c r="F52" s="71">
        <f t="shared" si="36"/>
        <v>0</v>
      </c>
      <c r="G52" s="13">
        <f t="shared" si="36"/>
        <v>0</v>
      </c>
      <c r="H52" s="71">
        <f t="shared" si="36"/>
        <v>0</v>
      </c>
      <c r="I52" s="13">
        <f t="shared" si="36"/>
        <v>0</v>
      </c>
      <c r="J52" s="71">
        <f t="shared" si="36"/>
        <v>0</v>
      </c>
      <c r="K52" s="13">
        <f t="shared" si="36"/>
        <v>0</v>
      </c>
      <c r="L52" s="71">
        <f t="shared" si="36"/>
        <v>0</v>
      </c>
      <c r="M52" s="13">
        <f t="shared" si="36"/>
        <v>0</v>
      </c>
      <c r="N52" s="71">
        <f t="shared" si="36"/>
        <v>0</v>
      </c>
      <c r="O52" s="61">
        <f>SUMIF($E$12:$N$12,$O$12,E52:N52)</f>
        <v>0</v>
      </c>
      <c r="P52" s="80">
        <f>SUMIF($E$12:$N$12,$P$12,E52:N52)</f>
        <v>0</v>
      </c>
    </row>
    <row r="53" spans="1:16" x14ac:dyDescent="0.2">
      <c r="A53" s="20" t="s">
        <v>3</v>
      </c>
      <c r="B53" s="200" t="s">
        <v>88</v>
      </c>
      <c r="C53" s="59" t="s">
        <v>21</v>
      </c>
      <c r="D53" s="214"/>
      <c r="E53" s="248">
        <f t="shared" ref="E53:N53" si="37">E28+E49</f>
        <v>0</v>
      </c>
      <c r="F53" s="265">
        <f t="shared" si="37"/>
        <v>0</v>
      </c>
      <c r="G53" s="248">
        <f t="shared" si="37"/>
        <v>0</v>
      </c>
      <c r="H53" s="265">
        <f t="shared" si="37"/>
        <v>0</v>
      </c>
      <c r="I53" s="248">
        <f t="shared" si="37"/>
        <v>0</v>
      </c>
      <c r="J53" s="265">
        <f t="shared" si="37"/>
        <v>0</v>
      </c>
      <c r="K53" s="248">
        <f t="shared" si="37"/>
        <v>0</v>
      </c>
      <c r="L53" s="265">
        <f t="shared" si="37"/>
        <v>0</v>
      </c>
      <c r="M53" s="248">
        <f t="shared" si="37"/>
        <v>0</v>
      </c>
      <c r="N53" s="265">
        <f t="shared" si="37"/>
        <v>0</v>
      </c>
      <c r="O53" s="252">
        <f>SUMIF($E$12:$N$12,$O$12,E53:N53)</f>
        <v>0</v>
      </c>
      <c r="P53" s="266">
        <f>SUMIF($E$12:$N$12,$P$12,E53:N53)</f>
        <v>0</v>
      </c>
    </row>
    <row r="54" spans="1:16" x14ac:dyDescent="0.2">
      <c r="A54" s="37"/>
      <c r="B54" s="8" t="s">
        <v>29</v>
      </c>
      <c r="C54" s="32" t="s">
        <v>0</v>
      </c>
      <c r="D54" s="26"/>
      <c r="E54" s="34">
        <f>SUM(E52:E53)</f>
        <v>0</v>
      </c>
      <c r="F54" s="72">
        <f>SUM(F52:F53)</f>
        <v>0</v>
      </c>
      <c r="G54" s="34">
        <f>SUM(G52:G53)</f>
        <v>0</v>
      </c>
      <c r="H54" s="72">
        <f>SUM(H52:H53)</f>
        <v>0</v>
      </c>
      <c r="I54" s="34">
        <f t="shared" ref="I54:N54" si="38">SUM(I52:I53)</f>
        <v>0</v>
      </c>
      <c r="J54" s="72">
        <f t="shared" si="38"/>
        <v>0</v>
      </c>
      <c r="K54" s="34">
        <f t="shared" si="38"/>
        <v>0</v>
      </c>
      <c r="L54" s="72">
        <f t="shared" si="38"/>
        <v>0</v>
      </c>
      <c r="M54" s="34">
        <f t="shared" si="38"/>
        <v>0</v>
      </c>
      <c r="N54" s="72">
        <f t="shared" si="38"/>
        <v>0</v>
      </c>
      <c r="O54" s="64">
        <f>SUMIF($E$12:$N$12,$O$12,E54:N54)</f>
        <v>0</v>
      </c>
      <c r="P54" s="82">
        <f>SUMIF($E$12:$N$12,$P$12,E54:N54)</f>
        <v>0</v>
      </c>
    </row>
    <row r="55" spans="1:16" ht="4.5" customHeight="1" x14ac:dyDescent="0.2">
      <c r="A55" s="20"/>
      <c r="C55" s="23"/>
      <c r="D55" s="23"/>
      <c r="E55" s="25"/>
      <c r="F55" s="25"/>
      <c r="G55" s="25"/>
      <c r="H55" s="25"/>
      <c r="I55" s="25"/>
      <c r="J55" s="25"/>
      <c r="K55" s="25"/>
      <c r="L55" s="25"/>
      <c r="M55" s="25"/>
      <c r="N55" s="25"/>
      <c r="O55" s="221"/>
      <c r="P55" s="222"/>
    </row>
    <row r="56" spans="1:16" x14ac:dyDescent="0.2">
      <c r="A56" s="20" t="s">
        <v>4</v>
      </c>
      <c r="B56" s="162" t="s">
        <v>97</v>
      </c>
      <c r="D56" s="23"/>
      <c r="E56" s="3">
        <v>0</v>
      </c>
      <c r="F56" s="73">
        <v>0</v>
      </c>
      <c r="G56" s="3">
        <v>0</v>
      </c>
      <c r="H56" s="73">
        <v>0</v>
      </c>
      <c r="I56" s="3">
        <v>0</v>
      </c>
      <c r="J56" s="73">
        <v>0</v>
      </c>
      <c r="K56" s="3">
        <v>0</v>
      </c>
      <c r="L56" s="73">
        <v>0</v>
      </c>
      <c r="M56" s="3">
        <v>0</v>
      </c>
      <c r="N56" s="73">
        <v>0</v>
      </c>
      <c r="O56" s="218">
        <f>SUMIF($E$12:$N$12,$O$12,E56:N56)</f>
        <v>0</v>
      </c>
      <c r="P56" s="219">
        <f>SUMIF($E$12:$N$12,$P$12,E56:N56)</f>
        <v>0</v>
      </c>
    </row>
    <row r="57" spans="1:16" ht="4.5" customHeight="1" x14ac:dyDescent="0.2">
      <c r="A57" s="20"/>
      <c r="C57" s="23"/>
      <c r="D57" s="23"/>
      <c r="E57" s="229"/>
      <c r="F57" s="229"/>
      <c r="G57" s="229"/>
      <c r="H57" s="229"/>
      <c r="I57" s="229"/>
      <c r="J57" s="229"/>
      <c r="K57" s="229"/>
      <c r="L57" s="229"/>
      <c r="M57" s="229"/>
      <c r="N57" s="229"/>
      <c r="O57" s="221"/>
      <c r="P57" s="222"/>
    </row>
    <row r="58" spans="1:16" x14ac:dyDescent="0.2">
      <c r="A58" s="20" t="s">
        <v>5</v>
      </c>
      <c r="B58" s="23" t="s">
        <v>93</v>
      </c>
      <c r="D58" s="23"/>
      <c r="E58" s="2">
        <v>0</v>
      </c>
      <c r="F58" s="70">
        <v>0</v>
      </c>
      <c r="G58" s="2">
        <f t="shared" ref="G58:N59" si="39">ROUND(E58*(1+$J$10),0)</f>
        <v>0</v>
      </c>
      <c r="H58" s="70">
        <f t="shared" si="39"/>
        <v>0</v>
      </c>
      <c r="I58" s="2">
        <f t="shared" si="39"/>
        <v>0</v>
      </c>
      <c r="J58" s="70">
        <f t="shared" si="39"/>
        <v>0</v>
      </c>
      <c r="K58" s="2">
        <f t="shared" si="39"/>
        <v>0</v>
      </c>
      <c r="L58" s="70">
        <f t="shared" si="39"/>
        <v>0</v>
      </c>
      <c r="M58" s="2">
        <f t="shared" si="39"/>
        <v>0</v>
      </c>
      <c r="N58" s="70">
        <f t="shared" si="39"/>
        <v>0</v>
      </c>
      <c r="O58" s="61">
        <f>SUMIF($E$12:$N$12,$O$12,E58:N58)</f>
        <v>0</v>
      </c>
      <c r="P58" s="80">
        <f>SUMIF($E$12:$N$12,$P$12,E58:N58)</f>
        <v>0</v>
      </c>
    </row>
    <row r="59" spans="1:16" x14ac:dyDescent="0.2">
      <c r="A59" s="20"/>
      <c r="B59" s="23" t="s">
        <v>94</v>
      </c>
      <c r="D59" s="23"/>
      <c r="E59" s="2">
        <v>0</v>
      </c>
      <c r="F59" s="70">
        <v>0</v>
      </c>
      <c r="G59" s="2">
        <f t="shared" si="39"/>
        <v>0</v>
      </c>
      <c r="H59" s="70">
        <f t="shared" si="39"/>
        <v>0</v>
      </c>
      <c r="I59" s="2">
        <f t="shared" si="39"/>
        <v>0</v>
      </c>
      <c r="J59" s="70">
        <f t="shared" si="39"/>
        <v>0</v>
      </c>
      <c r="K59" s="2">
        <f t="shared" si="39"/>
        <v>0</v>
      </c>
      <c r="L59" s="70">
        <f t="shared" si="39"/>
        <v>0</v>
      </c>
      <c r="M59" s="2">
        <f t="shared" si="39"/>
        <v>0</v>
      </c>
      <c r="N59" s="70">
        <f t="shared" si="39"/>
        <v>0</v>
      </c>
      <c r="O59" s="61">
        <f>SUMIF($E$12:$N$12,$O$12,E59:N59)</f>
        <v>0</v>
      </c>
      <c r="P59" s="80">
        <f>SUMIF($E$12:$N$12,$P$12,E59:N59)</f>
        <v>0</v>
      </c>
    </row>
    <row r="60" spans="1:16" ht="4.5" customHeight="1" x14ac:dyDescent="0.2">
      <c r="A60" s="20"/>
      <c r="C60" s="23"/>
      <c r="D60" s="23"/>
      <c r="E60" s="25"/>
      <c r="F60" s="25"/>
      <c r="G60" s="25"/>
      <c r="H60" s="25"/>
      <c r="I60" s="25"/>
      <c r="J60" s="25"/>
      <c r="K60" s="25"/>
      <c r="L60" s="25"/>
      <c r="M60" s="25"/>
      <c r="N60" s="25"/>
      <c r="O60" s="221"/>
      <c r="P60" s="222"/>
    </row>
    <row r="61" spans="1:16" x14ac:dyDescent="0.2">
      <c r="A61" s="20" t="s">
        <v>36</v>
      </c>
      <c r="B61" s="161" t="s">
        <v>30</v>
      </c>
      <c r="C61" s="23"/>
      <c r="D61" s="23"/>
      <c r="E61" s="4">
        <v>0</v>
      </c>
      <c r="F61" s="74">
        <v>0</v>
      </c>
      <c r="G61" s="4">
        <v>0</v>
      </c>
      <c r="H61" s="74">
        <v>0</v>
      </c>
      <c r="I61" s="4">
        <v>0</v>
      </c>
      <c r="J61" s="74">
        <v>0</v>
      </c>
      <c r="K61" s="4">
        <v>0</v>
      </c>
      <c r="L61" s="74">
        <v>0</v>
      </c>
      <c r="M61" s="4">
        <v>0</v>
      </c>
      <c r="N61" s="74">
        <v>0</v>
      </c>
      <c r="O61" s="61">
        <f>SUMIF($E$12:$N$12,$O$12,E61:N61)</f>
        <v>0</v>
      </c>
      <c r="P61" s="80">
        <f>SUMIF($E$12:$N$12,$P$12,E61:N61)</f>
        <v>0</v>
      </c>
    </row>
    <row r="62" spans="1:16" ht="4.5" customHeight="1" x14ac:dyDescent="0.2">
      <c r="A62" s="20"/>
      <c r="C62" s="23"/>
      <c r="D62" s="23"/>
      <c r="E62" s="25"/>
      <c r="F62" s="25"/>
      <c r="G62" s="25"/>
      <c r="H62" s="25"/>
      <c r="I62" s="25"/>
      <c r="J62" s="25"/>
      <c r="K62" s="25"/>
      <c r="L62" s="25"/>
      <c r="M62" s="25"/>
      <c r="N62" s="25"/>
      <c r="O62" s="221"/>
      <c r="P62" s="222"/>
    </row>
    <row r="63" spans="1:16" x14ac:dyDescent="0.2">
      <c r="A63" s="20" t="s">
        <v>37</v>
      </c>
      <c r="B63" s="207" t="s">
        <v>85</v>
      </c>
      <c r="C63" s="26"/>
      <c r="D63" s="23"/>
      <c r="E63"/>
      <c r="F63"/>
      <c r="G63"/>
      <c r="H63"/>
      <c r="I63"/>
      <c r="J63"/>
      <c r="P63" s="240"/>
    </row>
    <row r="64" spans="1:16" x14ac:dyDescent="0.2">
      <c r="A64" s="20"/>
      <c r="B64" s="23" t="s">
        <v>12</v>
      </c>
      <c r="C64" s="26"/>
      <c r="D64" s="23"/>
      <c r="E64" s="2">
        <v>0</v>
      </c>
      <c r="F64" s="70">
        <v>0</v>
      </c>
      <c r="G64" s="2">
        <f t="shared" ref="G64:H68" si="40">ROUND(E64*(1+$J$10),0)</f>
        <v>0</v>
      </c>
      <c r="H64" s="70">
        <f t="shared" si="40"/>
        <v>0</v>
      </c>
      <c r="I64" s="2">
        <f t="shared" ref="I64:N68" si="41">ROUND(G64*(1+$J$10),0)</f>
        <v>0</v>
      </c>
      <c r="J64" s="70">
        <f t="shared" si="41"/>
        <v>0</v>
      </c>
      <c r="K64" s="2">
        <f t="shared" si="41"/>
        <v>0</v>
      </c>
      <c r="L64" s="70">
        <f t="shared" si="41"/>
        <v>0</v>
      </c>
      <c r="M64" s="2">
        <f t="shared" si="41"/>
        <v>0</v>
      </c>
      <c r="N64" s="70">
        <f t="shared" si="41"/>
        <v>0</v>
      </c>
      <c r="O64" s="61">
        <f>SUMIF($E$12:$N$12,$O$12,E64:N64)</f>
        <v>0</v>
      </c>
      <c r="P64" s="80">
        <f>SUMIF($E$12:$N$12,$P$12,E64:N64)</f>
        <v>0</v>
      </c>
    </row>
    <row r="65" spans="1:16" x14ac:dyDescent="0.2">
      <c r="A65" s="20"/>
      <c r="B65" s="23" t="s">
        <v>103</v>
      </c>
      <c r="C65" s="23"/>
      <c r="D65" s="23"/>
      <c r="E65" s="2">
        <v>0</v>
      </c>
      <c r="F65" s="70">
        <v>0</v>
      </c>
      <c r="G65" s="2">
        <f t="shared" si="40"/>
        <v>0</v>
      </c>
      <c r="H65" s="70">
        <f t="shared" si="40"/>
        <v>0</v>
      </c>
      <c r="I65" s="2">
        <f t="shared" si="41"/>
        <v>0</v>
      </c>
      <c r="J65" s="70">
        <f t="shared" si="41"/>
        <v>0</v>
      </c>
      <c r="K65" s="2">
        <f t="shared" si="41"/>
        <v>0</v>
      </c>
      <c r="L65" s="70">
        <f t="shared" si="41"/>
        <v>0</v>
      </c>
      <c r="M65" s="2">
        <f t="shared" si="41"/>
        <v>0</v>
      </c>
      <c r="N65" s="70">
        <f t="shared" si="41"/>
        <v>0</v>
      </c>
      <c r="O65" s="61">
        <f>SUMIF($E$12:$N$12,$O$12,E65:N65)</f>
        <v>0</v>
      </c>
      <c r="P65" s="80">
        <f>SUMIF($E$12:$N$12,$P$12,E65:N65)</f>
        <v>0</v>
      </c>
    </row>
    <row r="66" spans="1:16" x14ac:dyDescent="0.2">
      <c r="A66" s="20"/>
      <c r="B66" s="23" t="s">
        <v>102</v>
      </c>
      <c r="C66" s="23"/>
      <c r="D66" s="23"/>
      <c r="E66" s="2">
        <v>0</v>
      </c>
      <c r="F66" s="70">
        <v>0</v>
      </c>
      <c r="G66" s="2">
        <f t="shared" si="40"/>
        <v>0</v>
      </c>
      <c r="H66" s="70">
        <f t="shared" si="40"/>
        <v>0</v>
      </c>
      <c r="I66" s="2">
        <f t="shared" si="41"/>
        <v>0</v>
      </c>
      <c r="J66" s="70">
        <f t="shared" si="41"/>
        <v>0</v>
      </c>
      <c r="K66" s="2">
        <f t="shared" si="41"/>
        <v>0</v>
      </c>
      <c r="L66" s="70">
        <f t="shared" si="41"/>
        <v>0</v>
      </c>
      <c r="M66" s="2">
        <f t="shared" si="41"/>
        <v>0</v>
      </c>
      <c r="N66" s="70">
        <f t="shared" si="41"/>
        <v>0</v>
      </c>
      <c r="O66" s="61">
        <f t="shared" ref="O66:O72" si="42">SUMIF($E$12:$N$12,$O$12,E66:N66)</f>
        <v>0</v>
      </c>
      <c r="P66" s="80">
        <f t="shared" ref="P66:P72" si="43">SUMIF($E$12:$N$12,$P$12,E66:N66)</f>
        <v>0</v>
      </c>
    </row>
    <row r="67" spans="1:16" x14ac:dyDescent="0.2">
      <c r="A67" s="20"/>
      <c r="B67" s="23" t="s">
        <v>82</v>
      </c>
      <c r="C67" s="23"/>
      <c r="D67" s="23"/>
      <c r="E67" s="2">
        <v>0</v>
      </c>
      <c r="F67" s="70">
        <v>0</v>
      </c>
      <c r="G67" s="2">
        <f t="shared" si="40"/>
        <v>0</v>
      </c>
      <c r="H67" s="70">
        <f t="shared" si="40"/>
        <v>0</v>
      </c>
      <c r="I67" s="2">
        <f t="shared" si="41"/>
        <v>0</v>
      </c>
      <c r="J67" s="70">
        <f t="shared" si="41"/>
        <v>0</v>
      </c>
      <c r="K67" s="2">
        <f t="shared" si="41"/>
        <v>0</v>
      </c>
      <c r="L67" s="70">
        <f t="shared" si="41"/>
        <v>0</v>
      </c>
      <c r="M67" s="2">
        <f t="shared" si="41"/>
        <v>0</v>
      </c>
      <c r="N67" s="70">
        <f t="shared" si="41"/>
        <v>0</v>
      </c>
      <c r="O67" s="61">
        <f t="shared" si="42"/>
        <v>0</v>
      </c>
      <c r="P67" s="80">
        <f t="shared" si="43"/>
        <v>0</v>
      </c>
    </row>
    <row r="68" spans="1:16" x14ac:dyDescent="0.2">
      <c r="A68" s="20"/>
      <c r="B68" s="347" t="s">
        <v>175</v>
      </c>
      <c r="C68" s="23"/>
      <c r="D68" s="23"/>
      <c r="E68" s="6">
        <v>0</v>
      </c>
      <c r="F68" s="74">
        <v>0</v>
      </c>
      <c r="G68" s="4">
        <f t="shared" si="40"/>
        <v>0</v>
      </c>
      <c r="H68" s="74">
        <f t="shared" si="40"/>
        <v>0</v>
      </c>
      <c r="I68" s="4">
        <f t="shared" si="41"/>
        <v>0</v>
      </c>
      <c r="J68" s="74">
        <f t="shared" si="41"/>
        <v>0</v>
      </c>
      <c r="K68" s="4">
        <f t="shared" si="41"/>
        <v>0</v>
      </c>
      <c r="L68" s="74">
        <f t="shared" si="41"/>
        <v>0</v>
      </c>
      <c r="M68" s="4">
        <f t="shared" si="41"/>
        <v>0</v>
      </c>
      <c r="N68" s="74">
        <f t="shared" si="41"/>
        <v>0</v>
      </c>
      <c r="O68" s="218">
        <f t="shared" si="42"/>
        <v>0</v>
      </c>
      <c r="P68" s="219">
        <f t="shared" si="43"/>
        <v>0</v>
      </c>
    </row>
    <row r="69" spans="1:16" x14ac:dyDescent="0.2">
      <c r="A69" s="20"/>
      <c r="B69" s="23" t="s">
        <v>95</v>
      </c>
      <c r="C69" s="23"/>
      <c r="D69" s="23"/>
      <c r="E69" s="119">
        <v>0</v>
      </c>
      <c r="F69" s="70">
        <v>0</v>
      </c>
      <c r="G69" s="2">
        <v>0</v>
      </c>
      <c r="H69" s="70">
        <v>0</v>
      </c>
      <c r="I69" s="2">
        <v>0</v>
      </c>
      <c r="J69" s="70">
        <v>0</v>
      </c>
      <c r="K69" s="2">
        <v>0</v>
      </c>
      <c r="L69" s="70">
        <v>0</v>
      </c>
      <c r="M69" s="2">
        <v>0</v>
      </c>
      <c r="N69" s="70">
        <v>0</v>
      </c>
      <c r="O69" s="61">
        <f t="shared" si="42"/>
        <v>0</v>
      </c>
      <c r="P69" s="80">
        <f t="shared" si="43"/>
        <v>0</v>
      </c>
    </row>
    <row r="70" spans="1:16" x14ac:dyDescent="0.2">
      <c r="A70" s="20"/>
      <c r="B70" s="201" t="s">
        <v>186</v>
      </c>
      <c r="C70" s="23"/>
      <c r="D70" s="23"/>
      <c r="E70" s="6">
        <v>0</v>
      </c>
      <c r="F70" s="74">
        <v>0</v>
      </c>
      <c r="G70" s="4">
        <v>0</v>
      </c>
      <c r="H70" s="74">
        <v>0</v>
      </c>
      <c r="I70" s="4">
        <v>0</v>
      </c>
      <c r="J70" s="74">
        <v>0</v>
      </c>
      <c r="K70" s="4">
        <v>0</v>
      </c>
      <c r="L70" s="74">
        <v>0</v>
      </c>
      <c r="M70" s="4">
        <v>0</v>
      </c>
      <c r="N70" s="74">
        <v>0</v>
      </c>
      <c r="O70" s="218">
        <f t="shared" si="42"/>
        <v>0</v>
      </c>
      <c r="P70" s="219">
        <f t="shared" si="43"/>
        <v>0</v>
      </c>
    </row>
    <row r="71" spans="1:16" x14ac:dyDescent="0.2">
      <c r="A71" s="20"/>
      <c r="B71" s="23" t="s">
        <v>96</v>
      </c>
      <c r="C71" s="23"/>
      <c r="D71" s="23"/>
      <c r="E71" s="119">
        <v>0</v>
      </c>
      <c r="F71" s="70">
        <v>0</v>
      </c>
      <c r="G71" s="2">
        <v>0</v>
      </c>
      <c r="H71" s="70">
        <v>0</v>
      </c>
      <c r="I71" s="2">
        <v>0</v>
      </c>
      <c r="J71" s="70">
        <v>0</v>
      </c>
      <c r="K71" s="2">
        <v>0</v>
      </c>
      <c r="L71" s="70">
        <v>0</v>
      </c>
      <c r="M71" s="2">
        <v>0</v>
      </c>
      <c r="N71" s="70">
        <v>0</v>
      </c>
      <c r="O71" s="61">
        <f t="shared" si="42"/>
        <v>0</v>
      </c>
      <c r="P71" s="80">
        <f t="shared" si="43"/>
        <v>0</v>
      </c>
    </row>
    <row r="72" spans="1:16" x14ac:dyDescent="0.2">
      <c r="A72" s="20"/>
      <c r="B72" s="201" t="s">
        <v>186</v>
      </c>
      <c r="C72" s="23"/>
      <c r="D72" s="23"/>
      <c r="E72" s="6">
        <v>0</v>
      </c>
      <c r="F72" s="74">
        <v>0</v>
      </c>
      <c r="G72" s="4">
        <v>0</v>
      </c>
      <c r="H72" s="74">
        <v>0</v>
      </c>
      <c r="I72" s="4">
        <v>0</v>
      </c>
      <c r="J72" s="74">
        <v>0</v>
      </c>
      <c r="K72" s="4">
        <v>0</v>
      </c>
      <c r="L72" s="74">
        <v>0</v>
      </c>
      <c r="M72" s="4">
        <v>0</v>
      </c>
      <c r="N72" s="74">
        <v>0</v>
      </c>
      <c r="O72" s="218">
        <f t="shared" si="42"/>
        <v>0</v>
      </c>
      <c r="P72" s="219">
        <f t="shared" si="43"/>
        <v>0</v>
      </c>
    </row>
    <row r="73" spans="1:16" x14ac:dyDescent="0.2">
      <c r="A73" s="20"/>
      <c r="B73" s="23" t="s">
        <v>61</v>
      </c>
      <c r="C73" s="23"/>
      <c r="D73" s="23"/>
      <c r="E73" s="230"/>
      <c r="F73" s="230"/>
      <c r="G73" s="230"/>
      <c r="H73" s="230"/>
      <c r="I73" s="230"/>
      <c r="J73" s="230"/>
      <c r="K73" s="230"/>
      <c r="L73" s="230"/>
      <c r="M73" s="230"/>
      <c r="N73" s="230"/>
      <c r="O73" s="221"/>
      <c r="P73" s="222"/>
    </row>
    <row r="74" spans="1:16" x14ac:dyDescent="0.2">
      <c r="A74" s="20"/>
      <c r="B74" s="201" t="s">
        <v>83</v>
      </c>
      <c r="C74" s="23"/>
      <c r="D74" s="23"/>
      <c r="E74" s="6">
        <f t="shared" ref="E74:N74" si="44">ROUND(SUMIF($B31:$B46,$B$35,E31:E46)*$J$3,0)</f>
        <v>0</v>
      </c>
      <c r="F74" s="74">
        <f t="shared" si="44"/>
        <v>0</v>
      </c>
      <c r="G74" s="6">
        <f t="shared" si="44"/>
        <v>0</v>
      </c>
      <c r="H74" s="74">
        <f t="shared" si="44"/>
        <v>0</v>
      </c>
      <c r="I74" s="6">
        <f t="shared" si="44"/>
        <v>0</v>
      </c>
      <c r="J74" s="74">
        <f t="shared" si="44"/>
        <v>0</v>
      </c>
      <c r="K74" s="6">
        <f t="shared" si="44"/>
        <v>0</v>
      </c>
      <c r="L74" s="74">
        <f t="shared" si="44"/>
        <v>0</v>
      </c>
      <c r="M74" s="6">
        <f t="shared" si="44"/>
        <v>0</v>
      </c>
      <c r="N74" s="74">
        <f t="shared" si="44"/>
        <v>0</v>
      </c>
      <c r="O74" s="218">
        <f>SUMIF($E$12:$N$12,$O$12,E74:N74)</f>
        <v>0</v>
      </c>
      <c r="P74" s="219">
        <f>SUMIF($E$12:$N$12,$P$12,E74:N74)</f>
        <v>0</v>
      </c>
    </row>
    <row r="75" spans="1:16" x14ac:dyDescent="0.2">
      <c r="A75" s="20"/>
      <c r="B75" s="201" t="s">
        <v>101</v>
      </c>
      <c r="C75" s="23"/>
      <c r="D75" s="23"/>
      <c r="E75" s="2">
        <v>0</v>
      </c>
      <c r="F75" s="70">
        <v>0</v>
      </c>
      <c r="G75" s="2">
        <f t="shared" ref="G75:G84" si="45">ROUND(E75*(1+$J$10),0)</f>
        <v>0</v>
      </c>
      <c r="H75" s="70">
        <f t="shared" ref="H75:H83" si="46">ROUND(F75*(1+$J$10),0)</f>
        <v>0</v>
      </c>
      <c r="I75" s="2">
        <f t="shared" ref="I75:I84" si="47">ROUND(G75*(1+$J$10),0)</f>
        <v>0</v>
      </c>
      <c r="J75" s="70">
        <f t="shared" ref="J75:J83" si="48">ROUND(H75*(1+$J$10),0)</f>
        <v>0</v>
      </c>
      <c r="K75" s="2">
        <f t="shared" ref="K75:K84" si="49">ROUND(I75*(1+$J$10),0)</f>
        <v>0</v>
      </c>
      <c r="L75" s="70">
        <f t="shared" ref="L75:L83" si="50">ROUND(J75*(1+$J$10),0)</f>
        <v>0</v>
      </c>
      <c r="M75" s="2">
        <f t="shared" ref="M75:M84" si="51">ROUND(K75*(1+$J$10),0)</f>
        <v>0</v>
      </c>
      <c r="N75" s="70">
        <f t="shared" ref="N75:N83" si="52">ROUND(L75*(1+$J$10),0)</f>
        <v>0</v>
      </c>
      <c r="O75" s="61">
        <f>SUMIF($E$12:$N$12,$O$12,E75:N75)</f>
        <v>0</v>
      </c>
      <c r="P75" s="80">
        <f>SUMIF($E$12:$N$12,$P$12,E75:N75)</f>
        <v>0</v>
      </c>
    </row>
    <row r="76" spans="1:16" x14ac:dyDescent="0.2">
      <c r="A76" s="20"/>
      <c r="B76" s="201" t="s">
        <v>100</v>
      </c>
      <c r="C76" s="23"/>
      <c r="D76" s="23"/>
      <c r="E76" s="2">
        <v>0</v>
      </c>
      <c r="F76" s="70">
        <v>0</v>
      </c>
      <c r="G76" s="2">
        <f t="shared" si="45"/>
        <v>0</v>
      </c>
      <c r="H76" s="70">
        <f t="shared" si="46"/>
        <v>0</v>
      </c>
      <c r="I76" s="2">
        <f t="shared" si="47"/>
        <v>0</v>
      </c>
      <c r="J76" s="70">
        <f t="shared" si="48"/>
        <v>0</v>
      </c>
      <c r="K76" s="2">
        <f t="shared" si="49"/>
        <v>0</v>
      </c>
      <c r="L76" s="70">
        <f t="shared" si="50"/>
        <v>0</v>
      </c>
      <c r="M76" s="2">
        <f t="shared" si="51"/>
        <v>0</v>
      </c>
      <c r="N76" s="70">
        <f t="shared" si="52"/>
        <v>0</v>
      </c>
      <c r="O76" s="61">
        <f t="shared" ref="O76:O85" si="53">SUMIF($E$12:$N$12,$O$12,E76:N76)</f>
        <v>0</v>
      </c>
      <c r="P76" s="80">
        <f t="shared" ref="P76:P85" si="54">SUMIF($E$12:$N$12,$P$12,E76:N76)</f>
        <v>0</v>
      </c>
    </row>
    <row r="77" spans="1:16" x14ac:dyDescent="0.2">
      <c r="A77" s="20"/>
      <c r="B77" s="201" t="s">
        <v>112</v>
      </c>
      <c r="C77" s="23"/>
      <c r="D77" s="23"/>
      <c r="E77" s="2">
        <v>0</v>
      </c>
      <c r="F77" s="70">
        <v>0</v>
      </c>
      <c r="G77" s="2">
        <f t="shared" si="45"/>
        <v>0</v>
      </c>
      <c r="H77" s="70">
        <f t="shared" si="46"/>
        <v>0</v>
      </c>
      <c r="I77" s="2">
        <f t="shared" si="47"/>
        <v>0</v>
      </c>
      <c r="J77" s="70">
        <f t="shared" si="48"/>
        <v>0</v>
      </c>
      <c r="K77" s="2">
        <f t="shared" si="49"/>
        <v>0</v>
      </c>
      <c r="L77" s="70">
        <f t="shared" si="50"/>
        <v>0</v>
      </c>
      <c r="M77" s="2">
        <f t="shared" si="51"/>
        <v>0</v>
      </c>
      <c r="N77" s="70">
        <f t="shared" si="52"/>
        <v>0</v>
      </c>
      <c r="O77" s="61">
        <f t="shared" si="53"/>
        <v>0</v>
      </c>
      <c r="P77" s="80">
        <f t="shared" si="54"/>
        <v>0</v>
      </c>
    </row>
    <row r="78" spans="1:16" x14ac:dyDescent="0.2">
      <c r="A78" s="20"/>
      <c r="B78" s="201" t="s">
        <v>104</v>
      </c>
      <c r="C78" s="23"/>
      <c r="D78" s="23"/>
      <c r="E78" s="2">
        <v>0</v>
      </c>
      <c r="F78" s="70">
        <v>0</v>
      </c>
      <c r="G78" s="2">
        <f t="shared" si="45"/>
        <v>0</v>
      </c>
      <c r="H78" s="70">
        <f t="shared" si="46"/>
        <v>0</v>
      </c>
      <c r="I78" s="2">
        <f t="shared" si="47"/>
        <v>0</v>
      </c>
      <c r="J78" s="70">
        <f t="shared" si="48"/>
        <v>0</v>
      </c>
      <c r="K78" s="2">
        <f t="shared" si="49"/>
        <v>0</v>
      </c>
      <c r="L78" s="70">
        <f t="shared" si="50"/>
        <v>0</v>
      </c>
      <c r="M78" s="2">
        <f t="shared" si="51"/>
        <v>0</v>
      </c>
      <c r="N78" s="70">
        <f t="shared" si="52"/>
        <v>0</v>
      </c>
      <c r="O78" s="61">
        <f t="shared" si="53"/>
        <v>0</v>
      </c>
      <c r="P78" s="80">
        <f t="shared" si="54"/>
        <v>0</v>
      </c>
    </row>
    <row r="79" spans="1:16" x14ac:dyDescent="0.2">
      <c r="A79" s="20"/>
      <c r="B79" s="209" t="s">
        <v>106</v>
      </c>
      <c r="C79" s="26"/>
      <c r="D79" s="23"/>
      <c r="E79" s="2">
        <v>0</v>
      </c>
      <c r="F79" s="70">
        <v>0</v>
      </c>
      <c r="G79" s="2">
        <f t="shared" si="45"/>
        <v>0</v>
      </c>
      <c r="H79" s="70">
        <f t="shared" si="46"/>
        <v>0</v>
      </c>
      <c r="I79" s="2">
        <f t="shared" si="47"/>
        <v>0</v>
      </c>
      <c r="J79" s="70">
        <f t="shared" si="48"/>
        <v>0</v>
      </c>
      <c r="K79" s="2">
        <f t="shared" si="49"/>
        <v>0</v>
      </c>
      <c r="L79" s="70">
        <f t="shared" si="50"/>
        <v>0</v>
      </c>
      <c r="M79" s="2">
        <f t="shared" si="51"/>
        <v>0</v>
      </c>
      <c r="N79" s="70">
        <f t="shared" si="52"/>
        <v>0</v>
      </c>
      <c r="O79" s="61">
        <f t="shared" si="53"/>
        <v>0</v>
      </c>
      <c r="P79" s="80">
        <f t="shared" si="54"/>
        <v>0</v>
      </c>
    </row>
    <row r="80" spans="1:16" x14ac:dyDescent="0.2">
      <c r="A80" s="20"/>
      <c r="B80" s="201" t="s">
        <v>98</v>
      </c>
      <c r="C80" s="26"/>
      <c r="D80" s="23"/>
      <c r="E80" s="2">
        <v>0</v>
      </c>
      <c r="F80" s="216">
        <v>0</v>
      </c>
      <c r="G80" s="2">
        <f t="shared" si="45"/>
        <v>0</v>
      </c>
      <c r="H80" s="70">
        <f t="shared" si="46"/>
        <v>0</v>
      </c>
      <c r="I80" s="2">
        <f t="shared" si="47"/>
        <v>0</v>
      </c>
      <c r="J80" s="70">
        <f t="shared" si="48"/>
        <v>0</v>
      </c>
      <c r="K80" s="2">
        <f t="shared" si="49"/>
        <v>0</v>
      </c>
      <c r="L80" s="70">
        <f t="shared" si="50"/>
        <v>0</v>
      </c>
      <c r="M80" s="2">
        <f t="shared" si="51"/>
        <v>0</v>
      </c>
      <c r="N80" s="70">
        <f t="shared" si="52"/>
        <v>0</v>
      </c>
      <c r="O80" s="61">
        <f t="shared" si="53"/>
        <v>0</v>
      </c>
      <c r="P80" s="80">
        <f t="shared" si="54"/>
        <v>0</v>
      </c>
    </row>
    <row r="81" spans="1:17" x14ac:dyDescent="0.2">
      <c r="A81" s="20"/>
      <c r="B81" s="201" t="s">
        <v>105</v>
      </c>
      <c r="C81" s="26"/>
      <c r="D81" s="23"/>
      <c r="E81" s="4">
        <v>0</v>
      </c>
      <c r="F81" s="74">
        <v>0</v>
      </c>
      <c r="G81" s="4">
        <f t="shared" si="45"/>
        <v>0</v>
      </c>
      <c r="H81" s="74">
        <f t="shared" si="46"/>
        <v>0</v>
      </c>
      <c r="I81" s="4">
        <f t="shared" si="47"/>
        <v>0</v>
      </c>
      <c r="J81" s="74">
        <f t="shared" si="48"/>
        <v>0</v>
      </c>
      <c r="K81" s="4">
        <f t="shared" si="49"/>
        <v>0</v>
      </c>
      <c r="L81" s="74">
        <f t="shared" si="50"/>
        <v>0</v>
      </c>
      <c r="M81" s="4">
        <f t="shared" si="51"/>
        <v>0</v>
      </c>
      <c r="N81" s="74">
        <f t="shared" si="52"/>
        <v>0</v>
      </c>
      <c r="O81" s="218">
        <f t="shared" si="53"/>
        <v>0</v>
      </c>
      <c r="P81" s="80">
        <f t="shared" si="54"/>
        <v>0</v>
      </c>
    </row>
    <row r="82" spans="1:17" x14ac:dyDescent="0.2">
      <c r="A82" s="20"/>
      <c r="B82" s="201" t="s">
        <v>99</v>
      </c>
      <c r="C82" s="26"/>
      <c r="D82" s="23"/>
      <c r="E82" s="2">
        <v>0</v>
      </c>
      <c r="F82" s="216">
        <v>0</v>
      </c>
      <c r="G82" s="2">
        <f t="shared" si="45"/>
        <v>0</v>
      </c>
      <c r="H82" s="70">
        <f t="shared" si="46"/>
        <v>0</v>
      </c>
      <c r="I82" s="2">
        <f t="shared" si="47"/>
        <v>0</v>
      </c>
      <c r="J82" s="70">
        <f t="shared" si="48"/>
        <v>0</v>
      </c>
      <c r="K82" s="2">
        <f t="shared" si="49"/>
        <v>0</v>
      </c>
      <c r="L82" s="70">
        <f t="shared" si="50"/>
        <v>0</v>
      </c>
      <c r="M82" s="2">
        <f t="shared" si="51"/>
        <v>0</v>
      </c>
      <c r="N82" s="70">
        <f t="shared" si="52"/>
        <v>0</v>
      </c>
      <c r="O82" s="61">
        <f t="shared" si="53"/>
        <v>0</v>
      </c>
      <c r="P82" s="80">
        <f t="shared" si="54"/>
        <v>0</v>
      </c>
    </row>
    <row r="83" spans="1:17" x14ac:dyDescent="0.2">
      <c r="A83" s="20"/>
      <c r="B83" s="201" t="s">
        <v>84</v>
      </c>
      <c r="C83" s="23"/>
      <c r="D83" s="23"/>
      <c r="E83" s="2">
        <v>0</v>
      </c>
      <c r="F83" s="70">
        <v>0</v>
      </c>
      <c r="G83" s="2">
        <f t="shared" si="45"/>
        <v>0</v>
      </c>
      <c r="H83" s="70">
        <f t="shared" si="46"/>
        <v>0</v>
      </c>
      <c r="I83" s="2">
        <f t="shared" si="47"/>
        <v>0</v>
      </c>
      <c r="J83" s="70">
        <f t="shared" si="48"/>
        <v>0</v>
      </c>
      <c r="K83" s="2">
        <f t="shared" si="49"/>
        <v>0</v>
      </c>
      <c r="L83" s="70">
        <f t="shared" si="50"/>
        <v>0</v>
      </c>
      <c r="M83" s="2">
        <f t="shared" si="51"/>
        <v>0</v>
      </c>
      <c r="N83" s="70">
        <f t="shared" si="52"/>
        <v>0</v>
      </c>
      <c r="O83" s="61">
        <f t="shared" si="53"/>
        <v>0</v>
      </c>
      <c r="P83" s="80">
        <f t="shared" si="54"/>
        <v>0</v>
      </c>
    </row>
    <row r="84" spans="1:17" x14ac:dyDescent="0.2">
      <c r="A84" s="20"/>
      <c r="B84" s="203" t="s">
        <v>61</v>
      </c>
      <c r="C84" s="38"/>
      <c r="D84" s="38"/>
      <c r="E84" s="215">
        <v>0</v>
      </c>
      <c r="F84" s="217">
        <v>0</v>
      </c>
      <c r="G84" s="215">
        <f t="shared" si="45"/>
        <v>0</v>
      </c>
      <c r="H84" s="220">
        <f>ROUND(F84*(1+$J$10),0)</f>
        <v>0</v>
      </c>
      <c r="I84" s="215">
        <f t="shared" si="47"/>
        <v>0</v>
      </c>
      <c r="J84" s="220">
        <f>ROUND(H84*(1+$J$10),0)</f>
        <v>0</v>
      </c>
      <c r="K84" s="215">
        <f t="shared" si="49"/>
        <v>0</v>
      </c>
      <c r="L84" s="220">
        <f>ROUND(J84*(1+$J$10),0)</f>
        <v>0</v>
      </c>
      <c r="M84" s="215">
        <f t="shared" si="51"/>
        <v>0</v>
      </c>
      <c r="N84" s="220">
        <f>ROUND(L84*(1+$J$10),0)</f>
        <v>0</v>
      </c>
      <c r="O84" s="62">
        <f t="shared" si="53"/>
        <v>0</v>
      </c>
      <c r="P84" s="81">
        <f t="shared" si="54"/>
        <v>0</v>
      </c>
    </row>
    <row r="85" spans="1:17" x14ac:dyDescent="0.2">
      <c r="A85" s="20"/>
      <c r="B85" s="246" t="s">
        <v>111</v>
      </c>
      <c r="C85" s="23"/>
      <c r="D85" s="23"/>
      <c r="E85" s="242">
        <f t="shared" ref="E85:N85" si="55">SUM(E74:E84)</f>
        <v>0</v>
      </c>
      <c r="F85" s="243">
        <f t="shared" si="55"/>
        <v>0</v>
      </c>
      <c r="G85" s="242">
        <f t="shared" si="55"/>
        <v>0</v>
      </c>
      <c r="H85" s="243">
        <f t="shared" si="55"/>
        <v>0</v>
      </c>
      <c r="I85" s="242">
        <f t="shared" si="55"/>
        <v>0</v>
      </c>
      <c r="J85" s="243">
        <f t="shared" si="55"/>
        <v>0</v>
      </c>
      <c r="K85" s="242">
        <f t="shared" si="55"/>
        <v>0</v>
      </c>
      <c r="L85" s="243">
        <f t="shared" si="55"/>
        <v>0</v>
      </c>
      <c r="M85" s="242">
        <f t="shared" si="55"/>
        <v>0</v>
      </c>
      <c r="N85" s="243">
        <f t="shared" si="55"/>
        <v>0</v>
      </c>
      <c r="O85" s="64">
        <f t="shared" si="53"/>
        <v>0</v>
      </c>
      <c r="P85" s="82">
        <f t="shared" si="54"/>
        <v>0</v>
      </c>
    </row>
    <row r="86" spans="1:17" x14ac:dyDescent="0.2">
      <c r="A86" s="20"/>
      <c r="B86" s="33" t="s">
        <v>13</v>
      </c>
      <c r="C86" s="26"/>
      <c r="D86" s="23"/>
      <c r="E86" s="40">
        <f t="shared" ref="E86:N86" si="56">SUM(E64:E84)</f>
        <v>0</v>
      </c>
      <c r="F86" s="75">
        <f t="shared" si="56"/>
        <v>0</v>
      </c>
      <c r="G86" s="40">
        <f t="shared" si="56"/>
        <v>0</v>
      </c>
      <c r="H86" s="75">
        <f t="shared" si="56"/>
        <v>0</v>
      </c>
      <c r="I86" s="40">
        <f t="shared" si="56"/>
        <v>0</v>
      </c>
      <c r="J86" s="75">
        <f t="shared" si="56"/>
        <v>0</v>
      </c>
      <c r="K86" s="40">
        <f t="shared" si="56"/>
        <v>0</v>
      </c>
      <c r="L86" s="75">
        <f t="shared" si="56"/>
        <v>0</v>
      </c>
      <c r="M86" s="40">
        <f t="shared" si="56"/>
        <v>0</v>
      </c>
      <c r="N86" s="75">
        <f t="shared" si="56"/>
        <v>0</v>
      </c>
      <c r="O86" s="64">
        <f>SUMIF($E$12:$N$12,$O$12,E86:N86)</f>
        <v>0</v>
      </c>
      <c r="P86" s="82">
        <f>SUMIF($E$12:$N$12,$P$12,E86:N86)</f>
        <v>0</v>
      </c>
    </row>
    <row r="87" spans="1:17" ht="4.5" customHeight="1" x14ac:dyDescent="0.2">
      <c r="A87" s="20"/>
      <c r="C87" s="23"/>
      <c r="D87" s="23"/>
      <c r="E87" s="25"/>
      <c r="F87" s="25"/>
      <c r="G87" s="25"/>
      <c r="H87" s="25"/>
      <c r="I87" s="25"/>
      <c r="J87" s="25"/>
      <c r="K87" s="25"/>
      <c r="L87" s="25"/>
      <c r="M87" s="25"/>
      <c r="N87" s="25"/>
      <c r="O87" s="221"/>
      <c r="P87" s="222"/>
    </row>
    <row r="88" spans="1:17" x14ac:dyDescent="0.2">
      <c r="A88" s="20" t="s">
        <v>7</v>
      </c>
      <c r="B88" s="33" t="s">
        <v>8</v>
      </c>
      <c r="D88" s="26"/>
      <c r="E88" s="41">
        <f t="shared" ref="E88:N88" si="57">E54+E56+E58+E59+E61+E86</f>
        <v>0</v>
      </c>
      <c r="F88" s="76">
        <f t="shared" si="57"/>
        <v>0</v>
      </c>
      <c r="G88" s="41">
        <f t="shared" si="57"/>
        <v>0</v>
      </c>
      <c r="H88" s="76">
        <f t="shared" si="57"/>
        <v>0</v>
      </c>
      <c r="I88" s="41">
        <f t="shared" si="57"/>
        <v>0</v>
      </c>
      <c r="J88" s="76">
        <f t="shared" si="57"/>
        <v>0</v>
      </c>
      <c r="K88" s="41">
        <f t="shared" si="57"/>
        <v>0</v>
      </c>
      <c r="L88" s="76">
        <f t="shared" si="57"/>
        <v>0</v>
      </c>
      <c r="M88" s="41">
        <f t="shared" si="57"/>
        <v>0</v>
      </c>
      <c r="N88" s="76">
        <f t="shared" si="57"/>
        <v>0</v>
      </c>
      <c r="O88" s="64">
        <f>SUMIF($E$12:$N$12,$O$12,E88:N88)</f>
        <v>0</v>
      </c>
      <c r="P88" s="82">
        <f>SUMIF($E$12:$N$12,$P$12,E88:N88)</f>
        <v>0</v>
      </c>
    </row>
    <row r="89" spans="1:17" x14ac:dyDescent="0.2">
      <c r="A89" s="20"/>
      <c r="B89" s="43" t="str">
        <f>IF(C3="","",IF(C3=AE4,"MTDC:","TDC:"))</f>
        <v>MTDC:</v>
      </c>
      <c r="C89" s="42" t="s">
        <v>34</v>
      </c>
      <c r="D89" s="42"/>
      <c r="E89" s="44">
        <f t="shared" ref="E89:N89" si="58">IF($C$3="",0,IF($C$3=$AE$4,E88-E56-E61-E81-SUMIF($B$64:$B$84,$B$70,E64:E84)-E74-E68,E88-E74))</f>
        <v>0</v>
      </c>
      <c r="F89" s="77">
        <f t="shared" si="58"/>
        <v>0</v>
      </c>
      <c r="G89" s="44">
        <f t="shared" si="58"/>
        <v>0</v>
      </c>
      <c r="H89" s="77">
        <f t="shared" si="58"/>
        <v>0</v>
      </c>
      <c r="I89" s="44">
        <f t="shared" si="58"/>
        <v>0</v>
      </c>
      <c r="J89" s="77">
        <f t="shared" si="58"/>
        <v>0</v>
      </c>
      <c r="K89" s="44">
        <f t="shared" si="58"/>
        <v>0</v>
      </c>
      <c r="L89" s="77">
        <f t="shared" si="58"/>
        <v>0</v>
      </c>
      <c r="M89" s="44">
        <f t="shared" si="58"/>
        <v>0</v>
      </c>
      <c r="N89" s="77">
        <f t="shared" si="58"/>
        <v>0</v>
      </c>
      <c r="O89" s="65">
        <f>SUMIF($E$12:$N$12,$O$12,E89:N89)</f>
        <v>0</v>
      </c>
      <c r="P89" s="83">
        <f>SUMIF($E$12:$N$12,$P$12,E89:N89)</f>
        <v>0</v>
      </c>
    </row>
    <row r="90" spans="1:17" ht="4.5" customHeight="1" x14ac:dyDescent="0.2">
      <c r="A90" s="20"/>
      <c r="C90" s="42"/>
      <c r="D90" s="42"/>
      <c r="E90" s="231"/>
      <c r="F90" s="231"/>
      <c r="G90" s="231"/>
      <c r="H90" s="231"/>
      <c r="I90" s="231"/>
      <c r="J90" s="231"/>
      <c r="K90" s="231"/>
      <c r="L90" s="231"/>
      <c r="M90" s="231"/>
      <c r="N90" s="231"/>
      <c r="O90" s="232"/>
      <c r="P90" s="233"/>
    </row>
    <row r="91" spans="1:17" x14ac:dyDescent="0.2">
      <c r="A91" s="20" t="s">
        <v>89</v>
      </c>
      <c r="B91" s="33" t="s">
        <v>31</v>
      </c>
      <c r="D91" s="26"/>
      <c r="E91" s="41" t="str">
        <f>IF($C$4="TBD","TBD",IF(E88=0,"TBD",ROUND($C$4*E89,0)))</f>
        <v>TBD</v>
      </c>
      <c r="F91" s="76">
        <f>IF($C$5="TBD",0,ROUND($C$5*F89,0))</f>
        <v>0</v>
      </c>
      <c r="G91" s="41" t="str">
        <f>IF($C$4="TBD","TBD",IF(G88=0,"TBD",ROUND($C$4*G89,0)))</f>
        <v>TBD</v>
      </c>
      <c r="H91" s="76">
        <f>IF($C$5="TBD",0,ROUND($C$5*H89,0))</f>
        <v>0</v>
      </c>
      <c r="I91" s="41" t="str">
        <f>IF($C$4="TBD","TBD",IF(I88=0,"TBD",ROUND($C$4*I89,0)))</f>
        <v>TBD</v>
      </c>
      <c r="J91" s="76">
        <f>IF($C$5="TBD",0,ROUND($C$5*J89,0))</f>
        <v>0</v>
      </c>
      <c r="K91" s="41" t="str">
        <f>IF($C$4="TBD","TBD",IF(K88=0,"TBD",ROUND($C$4*K89,0)))</f>
        <v>TBD</v>
      </c>
      <c r="L91" s="76">
        <f>IF($C$5="TBD",0,ROUND($C$5*L89,0))</f>
        <v>0</v>
      </c>
      <c r="M91" s="41" t="str">
        <f>IF($C$4="TBD","TBD",IF(M88=0,"TBD",ROUND($C$4*M89,0)))</f>
        <v>TBD</v>
      </c>
      <c r="N91" s="76">
        <f>IF($C$5="TBD",0,ROUND($C$5*N89,0))</f>
        <v>0</v>
      </c>
      <c r="O91" s="64">
        <f>SUMIF($E$12:$N$12,$O$12,E91:N91)</f>
        <v>0</v>
      </c>
      <c r="P91" s="82">
        <f>SUMIF($E$12:$N$12,$P$12,E91:N91)</f>
        <v>0</v>
      </c>
      <c r="Q91" s="400" t="s">
        <v>150</v>
      </c>
    </row>
    <row r="92" spans="1:17" x14ac:dyDescent="0.2">
      <c r="A92" s="20"/>
      <c r="B92" s="33" t="s">
        <v>47</v>
      </c>
      <c r="D92" s="26"/>
      <c r="E92" s="41"/>
      <c r="F92" s="76">
        <f>IF(OR($C$4="TBD",$C$6=$AF$5),0,($J$1*(E88-E56-E61-SUMIF($B$64:$B$84,$B$70,E64:E84)-E74-E68))-($C$4*E89))</f>
        <v>0</v>
      </c>
      <c r="G92" s="41"/>
      <c r="H92" s="76">
        <f>IF(OR($C$4="TBD",$C$6=$AF$5),0,($J$1*(G88-G56-G61-SUMIF($B$64:$B$84,$B$70,G64:G84)-G74-G68))-($C$4*G89))</f>
        <v>0</v>
      </c>
      <c r="I92" s="41"/>
      <c r="J92" s="76">
        <f>IF(OR($C$4="TBD",$C$6=$AF$5),0,($J$1*(I88-I56-I61-SUMIF($B$64:$B$84,$B$70,I64:I84)-I74-I68))-($C$4*I89))</f>
        <v>0</v>
      </c>
      <c r="K92" s="41"/>
      <c r="L92" s="76">
        <f>IF(OR($C$4="TBD",$C$6=$AF$5),0,($J$1*(K88-K56-K61-SUMIF($B$64:$B$84,$B$70,K64:K84)-K74-K68))-($C$4*K89))</f>
        <v>0</v>
      </c>
      <c r="M92" s="41"/>
      <c r="N92" s="76">
        <f>IF(OR($C$4="TBD",$C$6=$AF$5),0,($J$1*(M88-M56-M61-SUMIF($B$64:$B$84,$B$70,M64:M84)-M74-M68))-($C$4*M89))</f>
        <v>0</v>
      </c>
      <c r="O92" s="63"/>
      <c r="P92" s="82">
        <f>SUMIF($E$12:$N$12,$P$12,E92:N92)</f>
        <v>0</v>
      </c>
      <c r="Q92" s="403">
        <f>SUM(P91:P92)</f>
        <v>0</v>
      </c>
    </row>
    <row r="93" spans="1:17" ht="4.5" customHeight="1" x14ac:dyDescent="0.2">
      <c r="A93" s="20"/>
      <c r="C93" s="23"/>
      <c r="D93" s="23"/>
      <c r="E93" s="25"/>
      <c r="F93" s="25"/>
      <c r="G93" s="25"/>
      <c r="H93" s="25"/>
      <c r="I93" s="25"/>
      <c r="J93" s="25"/>
      <c r="K93" s="25"/>
      <c r="L93" s="25"/>
      <c r="M93" s="25"/>
      <c r="N93" s="25"/>
      <c r="O93" s="221"/>
      <c r="P93" s="222"/>
    </row>
    <row r="94" spans="1:17" ht="13.5" thickBot="1" x14ac:dyDescent="0.25">
      <c r="A94" s="46" t="s">
        <v>90</v>
      </c>
      <c r="B94" s="47" t="s">
        <v>32</v>
      </c>
      <c r="C94" s="48"/>
      <c r="D94" s="48"/>
      <c r="E94" s="49" t="str">
        <f>IF($C$4="TBD","TBD",IF(E88=0,"TBD",E91+E88))</f>
        <v>TBD</v>
      </c>
      <c r="F94" s="78">
        <f>F91+F88+F92</f>
        <v>0</v>
      </c>
      <c r="G94" s="49" t="str">
        <f>IF($C$4="TBD","TBD",IF(G88=0,"TBD",G91+G88))</f>
        <v>TBD</v>
      </c>
      <c r="H94" s="78">
        <f>H91+H88+H92</f>
        <v>0</v>
      </c>
      <c r="I94" s="49" t="str">
        <f>IF($C$4="TBD","TBD",IF(I88=0,"TBD",I91+I88))</f>
        <v>TBD</v>
      </c>
      <c r="J94" s="78">
        <f>J91+J88+J92</f>
        <v>0</v>
      </c>
      <c r="K94" s="49" t="str">
        <f>IF($C$4="TBD","TBD",IF(K88=0,"TBD",K91+K88))</f>
        <v>TBD</v>
      </c>
      <c r="L94" s="78">
        <f>L91+L88+L92</f>
        <v>0</v>
      </c>
      <c r="M94" s="49" t="str">
        <f>IF($C$4="TBD","TBD",IF(M88=0,"TBD",M91+M88))</f>
        <v>TBD</v>
      </c>
      <c r="N94" s="78">
        <f>N91+N88+N92</f>
        <v>0</v>
      </c>
      <c r="O94" s="136">
        <f>SUMIF($E$12:$N$12,$O$12,E94:N94)</f>
        <v>0</v>
      </c>
      <c r="P94" s="133">
        <f>SUMIF($E$12:$N$12,$P$12,E94:N94)</f>
        <v>0</v>
      </c>
    </row>
    <row r="95" spans="1:17" ht="12" customHeight="1" thickBot="1" x14ac:dyDescent="0.25">
      <c r="A95" s="236"/>
      <c r="B95" s="237" t="s">
        <v>79</v>
      </c>
      <c r="C95" s="238"/>
      <c r="D95" s="239"/>
      <c r="E95" s="803" t="str">
        <f>IF(E94="TBD","TBD",E94+F94)</f>
        <v>TBD</v>
      </c>
      <c r="F95" s="804"/>
      <c r="G95" s="803" t="str">
        <f>IF(G94="TBD","TBD",G94+H94)</f>
        <v>TBD</v>
      </c>
      <c r="H95" s="804"/>
      <c r="I95" s="803" t="str">
        <f>IF(I94="TBD","TBD",I94+J94)</f>
        <v>TBD</v>
      </c>
      <c r="J95" s="804"/>
      <c r="K95" s="803" t="str">
        <f>IF(K94="TBD","TBD",K94+L94)</f>
        <v>TBD</v>
      </c>
      <c r="L95" s="804"/>
      <c r="M95" s="803" t="str">
        <f>IF(M94="TBD","TBD",M94+N94)</f>
        <v>TBD</v>
      </c>
      <c r="N95" s="804"/>
      <c r="O95" s="803">
        <f>O94+P94</f>
        <v>0</v>
      </c>
      <c r="P95" s="804"/>
    </row>
    <row r="96" spans="1:17" ht="4.5" customHeight="1" thickBot="1" x14ac:dyDescent="0.25">
      <c r="A96"/>
      <c r="B96" s="35"/>
      <c r="C96"/>
      <c r="D96"/>
      <c r="E96" s="264"/>
      <c r="F96" s="264"/>
      <c r="G96" s="264"/>
      <c r="H96" s="264"/>
      <c r="I96" s="264"/>
      <c r="J96" s="264"/>
      <c r="K96" s="264"/>
      <c r="L96" s="264"/>
      <c r="M96" s="264"/>
      <c r="N96" s="264"/>
      <c r="O96" s="264"/>
      <c r="P96" s="264"/>
    </row>
    <row r="97" spans="1:16" ht="12.75" customHeight="1" x14ac:dyDescent="0.2">
      <c r="A97" s="745" t="s">
        <v>55</v>
      </c>
      <c r="B97" s="51" t="s">
        <v>33</v>
      </c>
      <c r="C97" s="52"/>
      <c r="D97" s="51"/>
      <c r="E97" s="53">
        <f>IF(E94="TBD",0,E91/E94)</f>
        <v>0</v>
      </c>
      <c r="F97" s="53">
        <f t="shared" ref="F97:P97" si="59">IF(F94&gt;0,F91/F88,0)</f>
        <v>0</v>
      </c>
      <c r="G97" s="53">
        <f>IF(G94="TBD",0,G91/G94)</f>
        <v>0</v>
      </c>
      <c r="H97" s="53">
        <f t="shared" si="59"/>
        <v>0</v>
      </c>
      <c r="I97" s="53">
        <f>IF(I94="TBD",0,I91/I94)</f>
        <v>0</v>
      </c>
      <c r="J97" s="53">
        <f t="shared" si="59"/>
        <v>0</v>
      </c>
      <c r="K97" s="53">
        <f>IF(K94="TBD",0,K91/K94)</f>
        <v>0</v>
      </c>
      <c r="L97" s="53">
        <f t="shared" si="59"/>
        <v>0</v>
      </c>
      <c r="M97" s="53">
        <f>IF(M94="TBD",0,M91/M94)</f>
        <v>0</v>
      </c>
      <c r="N97" s="53">
        <f t="shared" si="59"/>
        <v>0</v>
      </c>
      <c r="O97" s="60">
        <f>IF(O94=0,0,O91/O94)</f>
        <v>0</v>
      </c>
      <c r="P97" s="58">
        <f t="shared" si="59"/>
        <v>0</v>
      </c>
    </row>
    <row r="98" spans="1:16" ht="13.5" thickBot="1" x14ac:dyDescent="0.25">
      <c r="A98" s="774"/>
      <c r="B98" s="54" t="s">
        <v>40</v>
      </c>
      <c r="C98" s="55"/>
      <c r="D98" s="54"/>
      <c r="E98" s="139">
        <f>IF($C$4=$J$1,0,ROUND($J$1*(E88-E56-E61-E68-SUMIF($B$64:$B$84,$B$70,E64:E84)-E74),0)-E91)</f>
        <v>0</v>
      </c>
      <c r="F98" s="139">
        <f t="shared" ref="F98:N98" si="60">IF($C$4=$J$1,0,ROUND($J$1*(F88-F56-F61-F68-SUMIF($B$64:$B$84,$B$70,F64:F84)-F74),0)-F91)</f>
        <v>0</v>
      </c>
      <c r="G98" s="139">
        <f t="shared" si="60"/>
        <v>0</v>
      </c>
      <c r="H98" s="139">
        <f t="shared" si="60"/>
        <v>0</v>
      </c>
      <c r="I98" s="139">
        <f t="shared" si="60"/>
        <v>0</v>
      </c>
      <c r="J98" s="139">
        <f t="shared" si="60"/>
        <v>0</v>
      </c>
      <c r="K98" s="139">
        <f t="shared" si="60"/>
        <v>0</v>
      </c>
      <c r="L98" s="139">
        <f t="shared" si="60"/>
        <v>0</v>
      </c>
      <c r="M98" s="139">
        <f t="shared" si="60"/>
        <v>0</v>
      </c>
      <c r="N98" s="139">
        <f t="shared" si="60"/>
        <v>0</v>
      </c>
      <c r="O98" s="140">
        <f>IF($C$4=$J$1,0,ROUND($J$1*(O88-O56-O61-O68-SUMIF($B$64:$B$84,$B$70,O64:O84)-O74),0)-O91)</f>
        <v>0</v>
      </c>
      <c r="P98" s="138">
        <f>IF($C$4=$J$1,0,ROUND($J$1*(P88-P56-P61-P68-SUMIF($B$64:$B$84,$B$70,P64:P84)-P74),0)-P91)</f>
        <v>0</v>
      </c>
    </row>
    <row r="99" spans="1:16" x14ac:dyDescent="0.2">
      <c r="F99" s="10"/>
      <c r="G99" s="10"/>
      <c r="H99" s="10"/>
      <c r="I99" s="10"/>
    </row>
    <row r="100" spans="1:16" x14ac:dyDescent="0.2">
      <c r="F100" s="10"/>
      <c r="G100" s="10"/>
      <c r="H100" s="10"/>
      <c r="I100" s="10"/>
    </row>
    <row r="160" ht="13.5" thickBot="1" x14ac:dyDescent="0.25"/>
    <row r="161" spans="26:26" x14ac:dyDescent="0.2">
      <c r="Z161" s="797"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62" spans="26:26" x14ac:dyDescent="0.2">
      <c r="Z162" s="798"/>
    </row>
    <row r="163" spans="26:26" x14ac:dyDescent="0.2">
      <c r="Z163" s="798"/>
    </row>
    <row r="164" spans="26:26" x14ac:dyDescent="0.2">
      <c r="Z164" s="798"/>
    </row>
    <row r="165" spans="26:26" x14ac:dyDescent="0.2">
      <c r="Z165" s="798"/>
    </row>
    <row r="166" spans="26:26" x14ac:dyDescent="0.2">
      <c r="Z166" s="798"/>
    </row>
    <row r="167" spans="26:26" x14ac:dyDescent="0.2">
      <c r="Z167" s="798"/>
    </row>
    <row r="168" spans="26:26" x14ac:dyDescent="0.2">
      <c r="Z168" s="798"/>
    </row>
    <row r="169" spans="26:26" ht="13.5" thickBot="1" x14ac:dyDescent="0.25">
      <c r="Z169" s="799"/>
    </row>
  </sheetData>
  <scenarios current="5" show="1" sqref="D54">
    <scenario name="On-camp instr" locked="1" count="2" user="Grants and Contracts" comment="Created by Grants and Contracts on 6/13/96_x000a_Modified by Grants and Contracts on 6/13/96">
      <inputCells r="J1" val="0.519" numFmtId="165"/>
      <inputCells r="J3" val="0.5" numFmtId="165"/>
    </scenario>
    <scenario name="On-camp res" locked="1" count="2" user="Grants and Contracts" comment="Created by Grants and Contracts on 6/13/96_x000a_Modified by Grants and Contracts on 6/13/96">
      <inputCells r="J1" val="0.555" numFmtId="165"/>
      <inputCells r="J3" val="0.345" numFmtId="165"/>
    </scenario>
    <scenario name="On-camp - other" locked="1" count="2" user="Grants and Contracts" comment="Created by Grants and Contracts on 6/13/96_x000a_Modified by Grants and Contracts on 6/13/96">
      <inputCells r="J1" val="0.237" numFmtId="165"/>
      <inputCells r="J3" val="0.513" numFmtId="165"/>
    </scenario>
    <scenario name="Off-camp instr" locked="1" count="2" user="Grants and Contracts" comment="Created by Grants and Contracts on 6/13/96">
      <inputCells r="J1" val="0.24" numFmtId="165"/>
      <inputCells r="J3" val="0.5" numFmtId="165"/>
    </scenario>
    <scenario name="Off-camp research" locked="1" count="2" user="Grants and Contracts" comment="Created by Grants and Contracts on 6/13/96">
      <inputCells r="J1" val="0.24" numFmtId="165"/>
      <inputCells r="J3" val="0.345" numFmtId="165"/>
    </scenario>
    <scenario name="Off-camp - other" locked="1" count="2" user="Grants and Contracts" comment="Created by Grants and Contracts on 6/13/96">
      <inputCells r="J1" val="0.187" numFmtId="165"/>
      <inputCells r="J3" val="0.513" numFmtId="165"/>
    </scenario>
  </scenarios>
  <mergeCells count="22">
    <mergeCell ref="A97:A98"/>
    <mergeCell ref="E11:F11"/>
    <mergeCell ref="C5:E5"/>
    <mergeCell ref="I11:J11"/>
    <mergeCell ref="G11:H11"/>
    <mergeCell ref="G95:H95"/>
    <mergeCell ref="I95:J95"/>
    <mergeCell ref="A7:E10"/>
    <mergeCell ref="E95:F95"/>
    <mergeCell ref="Q1:U10"/>
    <mergeCell ref="Z161:Z169"/>
    <mergeCell ref="O11:P11"/>
    <mergeCell ref="M11:N11"/>
    <mergeCell ref="K11:L11"/>
    <mergeCell ref="K95:L95"/>
    <mergeCell ref="M95:N95"/>
    <mergeCell ref="O95:P95"/>
    <mergeCell ref="C1:E1"/>
    <mergeCell ref="C2:E2"/>
    <mergeCell ref="C3:E3"/>
    <mergeCell ref="C4:E4"/>
    <mergeCell ref="C6:E6"/>
  </mergeCells>
  <dataValidations xWindow="480" yWindow="326" count="26">
    <dataValidation allowBlank="1" showInputMessage="1" showErrorMessage="1" promptTitle="Notes" prompt="Add notes as necessary." sqref="A7:A8" xr:uid="{00000000-0002-0000-0500-000000000000}"/>
    <dataValidation allowBlank="1" showInputMessage="1" showErrorMessage="1" promptTitle="Applied F&amp;A Rate" prompt="If appplicable, then override the Applicable F&amp;A Rate with the F&amp;A Rate to be applied to this project." sqref="C4:E4" xr:uid="{00000000-0002-0000-0500-000001000000}"/>
    <dataValidation allowBlank="1" showInputMessage="1" showErrorMessage="1" promptTitle="Note" prompt="MTDC or TDC will display based on the value selected in cell I3." sqref="B89" xr:uid="{00000000-0002-0000-0500-000003000000}"/>
    <dataValidation allowBlank="1" showInputMessage="1" showErrorMessage="1" promptTitle="Applicable F&amp;A Rate" prompt="This field will dislpayed after inputting Activity Type and Location" sqref="J1" xr:uid="{00000000-0002-0000-0500-000004000000}"/>
    <dataValidation type="list" allowBlank="1" showInputMessage="1" showErrorMessage="1" promptTitle="Project Location" prompt="Select the Project Location." sqref="C2:E2" xr:uid="{00000000-0002-0000-0500-000005000000}">
      <formula1>$AB$3:$AC$3</formula1>
    </dataValidation>
    <dataValidation type="list" allowBlank="1" showInputMessage="1" showErrorMessage="1" promptTitle="F&amp;A as Cost Share" prompt="Select whether Sponsor F&amp;A costs will be listed as Cost Share." sqref="C6:E6" xr:uid="{00000000-0002-0000-0500-000006000000}">
      <formula1>$AF$4:$AF$5</formula1>
    </dataValidation>
    <dataValidation allowBlank="1" showInputMessage="1" showErrorMessage="1" promptTitle="F&amp;A Rate for Cost Share" prompt="The F&amp;A Rate for the Cost Share column will match the F&amp;A Rate for the Sponsor column in most circumstances. However, if using an Internal Program Rate or a Waiver Rate, then use the Applicable F&amp;A Rate." sqref="C5:E5" xr:uid="{00000000-0002-0000-0500-000007000000}"/>
    <dataValidation type="list" allowBlank="1" showInputMessage="1" showErrorMessage="1" promptTitle="F&amp;A Cost Basis" prompt="Select the basis for the F&amp;A costs._x000a_- Full Negotiated Rate = MTDC_x000a_- Reduced Federal or State = MTDC_x000a_- Reduced Rate = TDC (including (0% or 10%)_x000a_- Industry Sponsored Clinical Trial = 26% TDC_x000a_- Non-Standard Costs Assessed F&amp;A Rate = 'Other&quot;" sqref="C3:E3" xr:uid="{00000000-0002-0000-0500-000008000000}">
      <formula1>$AE$4:$AE$6</formula1>
    </dataValidation>
    <dataValidation allowBlank="1" showInputMessage="1" showErrorMessage="1" promptTitle="Additional Justification" prompt="Additional Justification is required." sqref="B43" xr:uid="{00000000-0002-0000-0500-000009000000}"/>
    <dataValidation allowBlank="1" showInputMessage="1" showErrorMessage="1" promptTitle="2 CFR 200.92" prompt="Subaward" sqref="B69 B71" xr:uid="{00000000-0002-0000-0500-00000A000000}"/>
    <dataValidation allowBlank="1" showInputMessage="1" showErrorMessage="1" promptTitle="2 CFR 200.330" prompt="Criteria for subrecipient versus contractor determination" sqref="B70 B72" xr:uid="{00000000-0002-0000-0500-00000B000000}"/>
    <dataValidation allowBlank="1" showInputMessage="1" showErrorMessage="1" promptTitle="2 CFR 200.314" prompt="Supplies" sqref="B64" xr:uid="{00000000-0002-0000-0500-00000C000000}"/>
    <dataValidation allowBlank="1" showInputMessage="1" showErrorMessage="1" promptTitle="2 CFR 200.461" prompt="Publication and printing costs" sqref="B65" xr:uid="{00000000-0002-0000-0500-00000D000000}"/>
    <dataValidation allowBlank="1" showInputMessage="1" showErrorMessage="1" promptTitle="2 CFR 200.330(b)" prompt="Contractor (Vendor) Costs" sqref="B77" xr:uid="{00000000-0002-0000-0500-00000E000000}"/>
    <dataValidation allowBlank="1" showInputMessage="1" showErrorMessage="1" promptTitle="2 CFR 200.459" prompt="Professional Service Costs" sqref="B66" xr:uid="{00000000-0002-0000-0500-00000F000000}"/>
    <dataValidation allowBlank="1" showInputMessage="1" showErrorMessage="1" promptTitle="Internal Program Rate" prompt="May be deemed as prohibited voluntary cost share by NSF." sqref="B68" xr:uid="{E74DDD98-404D-48F4-BF3C-6E1263D36700}"/>
    <dataValidation allowBlank="1" showInputMessage="1" showErrorMessage="1" promptTitle="Service Activities" prompt="Description: https://www.obfs.uillinois.edu/government-costing/service-Activities/" sqref="B79" xr:uid="{00000000-0002-0000-0500-000011000000}"/>
    <dataValidation allowBlank="1" showInputMessage="1" showErrorMessage="1" promptTitle="2 CFR 200.92" prompt="With MTDC basis, the first $25,000 of each subaward is assessed F&amp;A costs. " sqref="E69 E71" xr:uid="{00000000-0002-0000-0500-000012000000}"/>
    <dataValidation allowBlank="1" showInputMessage="1" showErrorMessage="1" promptTitle="2 CFR 200.33" prompt="Tangible personal property having a useful life of more than one year and a per-unit acquisition cost which equals or exceeds $5,000." sqref="B56" xr:uid="{00000000-0002-0000-0500-000013000000}"/>
    <dataValidation allowBlank="1" showInputMessage="1" showErrorMessage="1" promptTitle="OBFS 15" prompt="Travel Reimbursement and Per Diem: https://www.obfs.uillinois.edu/bfpp/section-15-travel/travel-reimbursement-and-per-diem" sqref="B58:B59" xr:uid="{00000000-0002-0000-0500-000014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1" xr:uid="{00000000-0002-0000-0500-000015000000}"/>
    <dataValidation allowBlank="1" showInputMessage="1" showErrorMessage="1" promptTitle="2 CFR 200.431" prompt="Compensation-fringe benefits" sqref="B53" xr:uid="{00000000-0002-0000-0500-000016000000}"/>
    <dataValidation allowBlank="1" showInputMessage="1" showErrorMessage="1" promptTitle="2 CFR 200.430" prompt="Compensation-personal services" sqref="B30 B13" xr:uid="{00000000-0002-0000-0500-000017000000}"/>
    <dataValidation allowBlank="1" showInputMessage="1" showErrorMessage="1" promptTitle="Graduate College-Assistantships" prompt="https://grad.illinois.edu/assistantships" sqref="B35 B37" xr:uid="{00000000-0002-0000-0500-000018000000}"/>
    <dataValidation allowBlank="1" showInputMessage="1" showErrorMessage="1" promptTitle="Minimum Salary" prompt="FY 2020 Campus Budget Guidelines: https://www.obfs.uillinois.edu/budgeting/urbana-champaign-campus/budget-guidelines/fy-2020" sqref="B31" xr:uid="{00000000-0002-0000-0500-000019000000}"/>
    <dataValidation type="list" allowBlank="1" showInputMessage="1" showErrorMessage="1" promptTitle="Project Activity Type" prompt="Select the Project Activity Type." sqref="C1:E1" xr:uid="{00000000-0002-0000-0500-000002000000}">
      <formula1>$AA$4:$AA$9</formula1>
    </dataValidation>
  </dataValidations>
  <hyperlinks>
    <hyperlink ref="B79" r:id="rId1" xr:uid="{00000000-0004-0000-0500-000000000000}"/>
  </hyperlinks>
  <printOptions horizontalCentered="1"/>
  <pageMargins left="0.25" right="0.25" top="0.75" bottom="0.75" header="0.3" footer="0.3"/>
  <pageSetup scale="52" fitToHeight="0" orientation="portrait" r:id="rId2"/>
  <headerFooter alignWithMargins="0">
    <oddHeader>&amp;L&amp;G&amp;C&amp;"Arial,Bold"&amp;12SPA Budget Template - FY27&amp;RPage &amp;P of &amp;N</oddHeader>
    <oddFooter>&amp;LSPA v.03042026&amp;RLast Updated: &amp;D</oddFooter>
  </headerFooter>
  <legacyDrawing r:id="rId3"/>
  <legacyDrawingHF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79998168889431442"/>
    <pageSetUpPr fitToPage="1"/>
  </sheetPr>
  <dimension ref="A1:AZ169"/>
  <sheetViews>
    <sheetView showGridLines="0" zoomScaleNormal="100" workbookViewId="0">
      <pane ySplit="10" topLeftCell="A48" activePane="bottomLeft" state="frozen"/>
      <selection activeCell="D12" sqref="D12"/>
      <selection pane="bottomLeft" activeCell="K9" sqref="K9"/>
    </sheetView>
  </sheetViews>
  <sheetFormatPr defaultColWidth="9.140625" defaultRowHeight="12.75" x14ac:dyDescent="0.2"/>
  <cols>
    <col min="1" max="1" width="3.7109375" style="18" customWidth="1"/>
    <col min="2" max="2" width="17" style="9" customWidth="1"/>
    <col min="3" max="3" width="7" style="12" customWidth="1"/>
    <col min="4" max="4" width="7.85546875" style="12" customWidth="1"/>
    <col min="5" max="5" width="13.28515625" style="10" customWidth="1"/>
    <col min="6" max="9" width="13.28515625" style="14" customWidth="1"/>
    <col min="10" max="10" width="13.28515625" style="56" customWidth="1"/>
    <col min="11" max="16" width="13.28515625" customWidth="1"/>
    <col min="17" max="17" width="12.42578125" customWidth="1"/>
    <col min="18" max="18" width="12.28515625" customWidth="1"/>
    <col min="19" max="19" width="11.42578125" customWidth="1"/>
    <col min="20" max="20" width="9.7109375" customWidth="1"/>
    <col min="21" max="22" width="9.140625" hidden="1" customWidth="1"/>
  </cols>
  <sheetData>
    <row r="1" spans="1:52" ht="17.25" customHeight="1" x14ac:dyDescent="0.2">
      <c r="A1" s="145" t="s">
        <v>18</v>
      </c>
      <c r="B1" s="146"/>
      <c r="C1" s="765"/>
      <c r="D1" s="765"/>
      <c r="E1" s="765"/>
      <c r="F1" s="170"/>
      <c r="G1" s="170"/>
      <c r="H1" s="170"/>
      <c r="I1" s="170"/>
      <c r="J1" s="189" t="s">
        <v>46</v>
      </c>
      <c r="K1" s="190" t="s">
        <v>45</v>
      </c>
      <c r="L1" s="205"/>
      <c r="N1" s="415"/>
      <c r="Q1" s="796"/>
      <c r="R1" s="796"/>
      <c r="S1" s="796"/>
      <c r="T1" s="796"/>
      <c r="W1" s="196"/>
    </row>
    <row r="2" spans="1:52" ht="17.25" customHeight="1" x14ac:dyDescent="0.2">
      <c r="A2" s="149" t="s">
        <v>17</v>
      </c>
      <c r="B2" s="150"/>
      <c r="C2" s="741"/>
      <c r="D2" s="741"/>
      <c r="E2" s="741"/>
      <c r="F2" s="660" t="s">
        <v>9</v>
      </c>
      <c r="G2" s="152"/>
      <c r="H2" s="152"/>
      <c r="I2" s="13"/>
      <c r="J2" s="168" t="str">
        <f>IF(AND($C$1=$AA$4,$C$2=$AB$3),$AB$4,IF(AND($C$1=$AA$4,$C$2=$AC$3),$AC$4,IF(AND($C$1=$AA$5,$C$2=$AB$3),$AB$5,IF(AND($C$1=$AA$5,$C$2=$AC$3),$AC$5,IF(AND($C$1=$AA$6,$C$2=$AB$3),$AB$6,IF(AND($C$1=$AA$6,$C$2=$AC$3),AC6,IF($C$1=$AA$7,$AB$7,IF($C$1=$AA$8,$AB$8,IF(AND($C$1=$AA$9,$C$2=$AB$3),$AB$4,IF(AND($C$1=$AA$9,$C$2=$AC$3),$AC$4,"TBD"))))))))))</f>
        <v>TBD</v>
      </c>
      <c r="K2" s="151">
        <v>0.60329999999999995</v>
      </c>
      <c r="L2" s="205"/>
      <c r="N2" s="415"/>
      <c r="Q2" s="796"/>
      <c r="R2" s="796"/>
      <c r="S2" s="796"/>
      <c r="T2" s="796"/>
      <c r="W2" s="196"/>
    </row>
    <row r="3" spans="1:52" ht="17.25" customHeight="1" x14ac:dyDescent="0.2">
      <c r="A3" s="149" t="s">
        <v>35</v>
      </c>
      <c r="B3" s="150"/>
      <c r="C3" s="741" t="str">
        <f>IF(OR($C$4=0,$C$4&lt;&gt;$J$2),$AE$5,IF($C$1=$AA$8,$AE$5,IF($C$4="TBD","MTDC",$AE$4)))</f>
        <v>MTDC</v>
      </c>
      <c r="D3" s="741"/>
      <c r="E3" s="741"/>
      <c r="F3" s="660" t="s">
        <v>10</v>
      </c>
      <c r="G3" s="152"/>
      <c r="H3" s="152"/>
      <c r="I3" s="152"/>
      <c r="J3" s="168">
        <f>IF(C1="Other Sponsored Activity", 60%, 64%)</f>
        <v>0.64</v>
      </c>
      <c r="K3" s="151">
        <v>0.42</v>
      </c>
      <c r="Q3" s="796"/>
      <c r="R3" s="796"/>
      <c r="S3" s="796"/>
      <c r="T3" s="796"/>
      <c r="W3" s="196"/>
      <c r="AA3" s="15"/>
      <c r="AB3" t="s">
        <v>14</v>
      </c>
      <c r="AC3" t="s">
        <v>15</v>
      </c>
      <c r="AE3" s="11" t="s">
        <v>26</v>
      </c>
      <c r="AF3" s="11"/>
    </row>
    <row r="4" spans="1:52" ht="17.25" customHeight="1" thickBot="1" x14ac:dyDescent="0.25">
      <c r="A4" s="149" t="s">
        <v>19</v>
      </c>
      <c r="B4" s="150"/>
      <c r="C4" s="741" t="str">
        <f>$J$2</f>
        <v>TBD</v>
      </c>
      <c r="D4" s="741"/>
      <c r="E4" s="741"/>
      <c r="F4" s="660" t="s">
        <v>11</v>
      </c>
      <c r="G4" s="152"/>
      <c r="H4" s="152"/>
      <c r="I4" s="152"/>
      <c r="J4" s="168">
        <v>0.40889999999999999</v>
      </c>
      <c r="K4" s="631">
        <v>0.3453</v>
      </c>
      <c r="Q4" s="796"/>
      <c r="R4" s="796"/>
      <c r="S4" s="796"/>
      <c r="T4" s="796"/>
      <c r="W4" s="196"/>
      <c r="AA4" t="s">
        <v>59</v>
      </c>
      <c r="AB4" s="16">
        <v>0.59499999999999997</v>
      </c>
      <c r="AC4" s="16">
        <v>0.26</v>
      </c>
      <c r="AE4" s="17" t="s">
        <v>27</v>
      </c>
      <c r="AF4" s="17"/>
    </row>
    <row r="5" spans="1:52" ht="17.25" customHeight="1" x14ac:dyDescent="0.2">
      <c r="A5" s="816" t="s">
        <v>107</v>
      </c>
      <c r="B5" s="787"/>
      <c r="C5" s="787"/>
      <c r="D5" s="787"/>
      <c r="E5" s="788"/>
      <c r="F5" s="660" t="s">
        <v>154</v>
      </c>
      <c r="G5" s="152"/>
      <c r="H5" s="152"/>
      <c r="I5" s="152"/>
      <c r="J5" s="168">
        <v>8.5500000000000007E-2</v>
      </c>
      <c r="K5" s="631">
        <v>3.1800000000000002E-2</v>
      </c>
      <c r="Q5" s="796"/>
      <c r="R5" s="796"/>
      <c r="S5" s="796"/>
      <c r="T5" s="796"/>
      <c r="W5" s="196"/>
      <c r="AA5" t="s">
        <v>60</v>
      </c>
      <c r="AB5" s="16">
        <v>0.433</v>
      </c>
      <c r="AC5" s="16">
        <v>0.26</v>
      </c>
      <c r="AE5" s="17" t="s">
        <v>28</v>
      </c>
      <c r="AF5" s="17"/>
    </row>
    <row r="6" spans="1:52" ht="17.25" customHeight="1" x14ac:dyDescent="0.2">
      <c r="A6" s="817"/>
      <c r="B6" s="790"/>
      <c r="C6" s="790"/>
      <c r="D6" s="790"/>
      <c r="E6" s="791"/>
      <c r="F6" s="660" t="s">
        <v>155</v>
      </c>
      <c r="G6" s="13"/>
      <c r="H6" s="13"/>
      <c r="I6" s="13"/>
      <c r="J6" s="168">
        <v>0.16200000000000001</v>
      </c>
      <c r="K6" s="631">
        <v>0.10829999999999999</v>
      </c>
      <c r="Q6" s="796"/>
      <c r="R6" s="796"/>
      <c r="S6" s="796"/>
      <c r="T6" s="796"/>
      <c r="W6" s="196"/>
      <c r="AA6" t="s">
        <v>16</v>
      </c>
      <c r="AB6" s="16">
        <v>0.308</v>
      </c>
      <c r="AC6" s="16">
        <v>0.219</v>
      </c>
      <c r="AE6" s="17" t="s">
        <v>61</v>
      </c>
    </row>
    <row r="7" spans="1:52" ht="17.25" customHeight="1" x14ac:dyDescent="0.2">
      <c r="A7" s="817"/>
      <c r="B7" s="790"/>
      <c r="C7" s="790"/>
      <c r="D7" s="790"/>
      <c r="E7" s="791"/>
      <c r="F7" s="660" t="s">
        <v>44</v>
      </c>
      <c r="G7" s="152"/>
      <c r="H7" s="152"/>
      <c r="I7" s="152"/>
      <c r="J7" s="169">
        <v>1E-4</v>
      </c>
      <c r="K7" s="631">
        <v>4.0000000000000002E-4</v>
      </c>
      <c r="Q7" s="796"/>
      <c r="R7" s="796"/>
      <c r="S7" s="796"/>
      <c r="T7" s="796"/>
      <c r="W7" s="196"/>
      <c r="AA7" t="s">
        <v>62</v>
      </c>
      <c r="AB7" s="141">
        <v>0</v>
      </c>
      <c r="AC7" s="141"/>
    </row>
    <row r="8" spans="1:52" ht="17.25" customHeight="1" x14ac:dyDescent="0.2">
      <c r="A8" s="817"/>
      <c r="B8" s="790"/>
      <c r="C8" s="790"/>
      <c r="D8" s="790"/>
      <c r="E8" s="791"/>
      <c r="F8" s="660" t="s">
        <v>41</v>
      </c>
      <c r="G8" s="152"/>
      <c r="H8" s="152"/>
      <c r="I8" s="152"/>
      <c r="J8" s="168">
        <v>7.6600000000000001E-2</v>
      </c>
      <c r="K8" s="631">
        <v>7.6899999999999996E-2</v>
      </c>
      <c r="Q8" s="796"/>
      <c r="R8" s="796"/>
      <c r="S8" s="796"/>
      <c r="T8" s="796"/>
      <c r="W8" s="196"/>
      <c r="AA8" t="s">
        <v>63</v>
      </c>
      <c r="AB8" s="141">
        <v>0.26</v>
      </c>
      <c r="AC8" s="141"/>
    </row>
    <row r="9" spans="1:52" ht="17.25" customHeight="1" x14ac:dyDescent="0.2">
      <c r="A9" s="817"/>
      <c r="B9" s="790"/>
      <c r="C9" s="790"/>
      <c r="D9" s="790"/>
      <c r="E9" s="791"/>
      <c r="F9" s="206" t="s">
        <v>38</v>
      </c>
      <c r="G9" s="152"/>
      <c r="H9" s="152"/>
      <c r="I9" s="152"/>
      <c r="J9" s="408">
        <v>0.03</v>
      </c>
      <c r="K9" s="151"/>
      <c r="Q9" s="796"/>
      <c r="R9" s="796"/>
      <c r="S9" s="796"/>
      <c r="T9" s="796"/>
      <c r="W9" s="196"/>
      <c r="AA9" t="s">
        <v>64</v>
      </c>
      <c r="AB9" s="16"/>
      <c r="AC9" s="16"/>
    </row>
    <row r="10" spans="1:52" ht="17.25" customHeight="1" thickBot="1" x14ac:dyDescent="0.25">
      <c r="A10" s="818"/>
      <c r="B10" s="819"/>
      <c r="C10" s="819"/>
      <c r="D10" s="819"/>
      <c r="E10" s="820"/>
      <c r="F10" s="234" t="s">
        <v>39</v>
      </c>
      <c r="G10" s="154"/>
      <c r="H10" s="155"/>
      <c r="I10" s="156"/>
      <c r="J10" s="409">
        <v>0.04</v>
      </c>
      <c r="K10" s="157"/>
      <c r="Q10" s="796"/>
      <c r="R10" s="796"/>
      <c r="S10" s="796"/>
      <c r="T10" s="796"/>
      <c r="W10" s="196"/>
    </row>
    <row r="11" spans="1:52" s="19" customFormat="1" ht="15" customHeight="1" x14ac:dyDescent="0.35">
      <c r="A11" s="285"/>
      <c r="B11" s="422"/>
      <c r="C11" s="278"/>
      <c r="D11" s="278"/>
      <c r="E11" s="805" t="s">
        <v>74</v>
      </c>
      <c r="F11" s="805"/>
      <c r="G11" s="802" t="s">
        <v>75</v>
      </c>
      <c r="H11" s="802"/>
      <c r="I11" s="802" t="s">
        <v>76</v>
      </c>
      <c r="J11" s="802"/>
      <c r="K11" s="802" t="s">
        <v>77</v>
      </c>
      <c r="L11" s="802"/>
      <c r="M11" s="802" t="s">
        <v>78</v>
      </c>
      <c r="N11" s="802"/>
      <c r="O11" s="800" t="s">
        <v>0</v>
      </c>
      <c r="P11" s="801"/>
      <c r="Q11" s="821"/>
      <c r="R11" s="821"/>
      <c r="S11" s="821"/>
      <c r="T11" s="821"/>
      <c r="W11"/>
      <c r="X11"/>
      <c r="Y11"/>
      <c r="Z11"/>
      <c r="AA11"/>
      <c r="AB11"/>
      <c r="AC11"/>
      <c r="AD11"/>
      <c r="AE11"/>
      <c r="AF11"/>
      <c r="AG11"/>
      <c r="AH11"/>
      <c r="AI11"/>
      <c r="AJ11"/>
      <c r="AK11"/>
      <c r="AL11"/>
      <c r="AM11"/>
      <c r="AN11"/>
      <c r="AO11"/>
      <c r="AP11"/>
      <c r="AQ11"/>
      <c r="AR11"/>
      <c r="AS11"/>
      <c r="AT11"/>
      <c r="AU11"/>
      <c r="AV11"/>
      <c r="AW11"/>
      <c r="AX11"/>
      <c r="AY11"/>
      <c r="AZ11"/>
    </row>
    <row r="12" spans="1:52" s="19" customFormat="1" x14ac:dyDescent="0.2">
      <c r="A12" s="20"/>
      <c r="B12" s="9"/>
      <c r="E12" s="134" t="s">
        <v>46</v>
      </c>
      <c r="F12" s="84" t="s">
        <v>45</v>
      </c>
      <c r="G12" s="134" t="s">
        <v>46</v>
      </c>
      <c r="H12" s="84" t="s">
        <v>45</v>
      </c>
      <c r="I12" s="134" t="s">
        <v>46</v>
      </c>
      <c r="J12" s="84" t="s">
        <v>45</v>
      </c>
      <c r="K12" s="134" t="s">
        <v>46</v>
      </c>
      <c r="L12" s="84" t="s">
        <v>45</v>
      </c>
      <c r="M12" s="134" t="s">
        <v>46</v>
      </c>
      <c r="N12" s="84" t="s">
        <v>45</v>
      </c>
      <c r="O12" s="67" t="s">
        <v>46</v>
      </c>
      <c r="P12" s="98" t="s">
        <v>45</v>
      </c>
      <c r="Q12" s="821"/>
      <c r="R12" s="821"/>
      <c r="S12" s="821"/>
      <c r="T12" s="821"/>
      <c r="W12"/>
      <c r="X12"/>
      <c r="Y12"/>
      <c r="Z12"/>
      <c r="AA12"/>
      <c r="AB12"/>
      <c r="AC12"/>
      <c r="AD12"/>
      <c r="AE12"/>
      <c r="AF12"/>
      <c r="AG12"/>
      <c r="AH12"/>
      <c r="AI12"/>
      <c r="AJ12"/>
      <c r="AK12"/>
      <c r="AL12"/>
      <c r="AM12"/>
      <c r="AN12"/>
      <c r="AO12"/>
      <c r="AP12"/>
      <c r="AQ12"/>
      <c r="AR12"/>
      <c r="AS12"/>
      <c r="AT12"/>
      <c r="AU12"/>
      <c r="AV12"/>
      <c r="AW12"/>
      <c r="AX12"/>
      <c r="AY12"/>
      <c r="AZ12"/>
    </row>
    <row r="13" spans="1:52" s="19" customFormat="1" x14ac:dyDescent="0.2">
      <c r="A13" s="20" t="s">
        <v>1</v>
      </c>
      <c r="B13" s="161" t="s">
        <v>86</v>
      </c>
      <c r="E13" s="223"/>
      <c r="F13" s="224"/>
      <c r="G13" s="223"/>
      <c r="H13" s="224"/>
      <c r="I13" s="223"/>
      <c r="J13" s="224"/>
      <c r="K13" s="223"/>
      <c r="L13" s="224"/>
      <c r="M13" s="223"/>
      <c r="N13" s="224"/>
      <c r="O13" s="225"/>
      <c r="P13" s="226"/>
      <c r="Q13" s="821"/>
      <c r="R13" s="821"/>
      <c r="S13" s="821"/>
      <c r="T13" s="821"/>
      <c r="W13"/>
      <c r="X13"/>
      <c r="Y13"/>
      <c r="Z13"/>
      <c r="AA13"/>
      <c r="AB13"/>
      <c r="AC13"/>
      <c r="AD13"/>
      <c r="AE13"/>
      <c r="AF13"/>
      <c r="AG13"/>
      <c r="AH13"/>
      <c r="AI13"/>
      <c r="AJ13"/>
      <c r="AK13"/>
      <c r="AL13"/>
      <c r="AM13"/>
      <c r="AN13"/>
      <c r="AO13"/>
      <c r="AP13"/>
      <c r="AQ13"/>
      <c r="AR13"/>
      <c r="AS13"/>
      <c r="AT13"/>
      <c r="AU13"/>
      <c r="AV13"/>
      <c r="AW13"/>
      <c r="AX13"/>
      <c r="AY13"/>
      <c r="AZ13"/>
    </row>
    <row r="14" spans="1:52" x14ac:dyDescent="0.2">
      <c r="A14" s="20"/>
      <c r="B14" s="142" t="s">
        <v>73</v>
      </c>
      <c r="C14" s="22" t="s">
        <v>20</v>
      </c>
      <c r="D14" s="276"/>
      <c r="E14" s="1">
        <v>0</v>
      </c>
      <c r="F14" s="85">
        <v>0</v>
      </c>
      <c r="G14" s="2">
        <f t="shared" ref="G14:N14" si="0">ROUND(E14*(1+$J$9), 0)</f>
        <v>0</v>
      </c>
      <c r="H14" s="86">
        <f t="shared" si="0"/>
        <v>0</v>
      </c>
      <c r="I14" s="2">
        <f t="shared" si="0"/>
        <v>0</v>
      </c>
      <c r="J14" s="86">
        <f t="shared" si="0"/>
        <v>0</v>
      </c>
      <c r="K14" s="2">
        <f t="shared" si="0"/>
        <v>0</v>
      </c>
      <c r="L14" s="86">
        <f t="shared" si="0"/>
        <v>0</v>
      </c>
      <c r="M14" s="2">
        <f t="shared" si="0"/>
        <v>0</v>
      </c>
      <c r="N14" s="86">
        <f t="shared" si="0"/>
        <v>0</v>
      </c>
      <c r="O14" s="61">
        <f t="shared" ref="O14:O25" si="1">SUMIF($E$12:$N$12,$O$12,E14:N14)</f>
        <v>0</v>
      </c>
      <c r="P14" s="99">
        <f t="shared" ref="P14:P25" si="2">SUMIF($E$12:$N$12,$P$12,E14:N14)</f>
        <v>0</v>
      </c>
      <c r="Q14" s="821"/>
      <c r="R14" s="821"/>
      <c r="S14" s="821"/>
      <c r="T14" s="821"/>
    </row>
    <row r="15" spans="1:52" x14ac:dyDescent="0.2">
      <c r="A15" s="20"/>
      <c r="B15" s="274"/>
      <c r="C15" s="143" t="s">
        <v>21</v>
      </c>
      <c r="D15" s="144">
        <f>$J$4</f>
        <v>0.40889999999999999</v>
      </c>
      <c r="E15" s="171">
        <f>ROUND(E14*$D15,0)</f>
        <v>0</v>
      </c>
      <c r="F15" s="192">
        <f>ROUND(F14*$K$4,0)</f>
        <v>0</v>
      </c>
      <c r="G15" s="171">
        <f>ROUND(G14*$D15,0)</f>
        <v>0</v>
      </c>
      <c r="H15" s="192">
        <f>ROUND(H14*$K$4,0)</f>
        <v>0</v>
      </c>
      <c r="I15" s="171">
        <f>ROUND(I14*$D15,0)</f>
        <v>0</v>
      </c>
      <c r="J15" s="192">
        <f>ROUND(J14*$K$4,0)</f>
        <v>0</v>
      </c>
      <c r="K15" s="171">
        <f>ROUND(K14*$D15,0)</f>
        <v>0</v>
      </c>
      <c r="L15" s="192">
        <f>ROUND(L14*$K$4,0)</f>
        <v>0</v>
      </c>
      <c r="M15" s="171">
        <f>ROUND(M14*$D15,0)</f>
        <v>0</v>
      </c>
      <c r="N15" s="192">
        <f>ROUND(N14*$K$4,0)</f>
        <v>0</v>
      </c>
      <c r="O15" s="183">
        <f t="shared" si="1"/>
        <v>0</v>
      </c>
      <c r="P15" s="191">
        <f t="shared" si="2"/>
        <v>0</v>
      </c>
      <c r="Q15" s="821"/>
      <c r="R15" s="821"/>
      <c r="S15" s="821"/>
      <c r="T15" s="821"/>
    </row>
    <row r="16" spans="1:52" x14ac:dyDescent="0.2">
      <c r="A16" s="20"/>
      <c r="B16" s="142" t="s">
        <v>69</v>
      </c>
      <c r="C16" s="22" t="s">
        <v>20</v>
      </c>
      <c r="D16" s="276"/>
      <c r="E16" s="2">
        <v>0</v>
      </c>
      <c r="F16" s="86">
        <v>0</v>
      </c>
      <c r="G16" s="2">
        <f t="shared" ref="G16:N16" si="3">ROUND(E16*(1+$J$9), 0)</f>
        <v>0</v>
      </c>
      <c r="H16" s="86">
        <f t="shared" si="3"/>
        <v>0</v>
      </c>
      <c r="I16" s="2">
        <f t="shared" si="3"/>
        <v>0</v>
      </c>
      <c r="J16" s="86">
        <f t="shared" si="3"/>
        <v>0</v>
      </c>
      <c r="K16" s="2">
        <f t="shared" si="3"/>
        <v>0</v>
      </c>
      <c r="L16" s="86">
        <f t="shared" si="3"/>
        <v>0</v>
      </c>
      <c r="M16" s="2">
        <f t="shared" si="3"/>
        <v>0</v>
      </c>
      <c r="N16" s="86">
        <f t="shared" si="3"/>
        <v>0</v>
      </c>
      <c r="O16" s="61">
        <f t="shared" si="1"/>
        <v>0</v>
      </c>
      <c r="P16" s="99">
        <f t="shared" si="2"/>
        <v>0</v>
      </c>
      <c r="Q16" s="821"/>
      <c r="R16" s="821"/>
      <c r="S16" s="821"/>
      <c r="T16" s="821"/>
    </row>
    <row r="17" spans="1:52" x14ac:dyDescent="0.2">
      <c r="A17" s="20"/>
      <c r="B17" s="274"/>
      <c r="C17" s="143" t="s">
        <v>21</v>
      </c>
      <c r="D17" s="144">
        <f>$J$4</f>
        <v>0.40889999999999999</v>
      </c>
      <c r="E17" s="171">
        <f>ROUND(E16*$D17,0)</f>
        <v>0</v>
      </c>
      <c r="F17" s="192">
        <f>ROUND(F16*$K$4,0)</f>
        <v>0</v>
      </c>
      <c r="G17" s="171">
        <f>ROUND(G16*$D17,0)</f>
        <v>0</v>
      </c>
      <c r="H17" s="192">
        <f>ROUND(H16*$K$4,0)</f>
        <v>0</v>
      </c>
      <c r="I17" s="171">
        <f>ROUND(I16*$D17,0)</f>
        <v>0</v>
      </c>
      <c r="J17" s="192">
        <f>ROUND(J16*$K$4,0)</f>
        <v>0</v>
      </c>
      <c r="K17" s="171">
        <f>ROUND(K16*$D17,0)</f>
        <v>0</v>
      </c>
      <c r="L17" s="192">
        <f>ROUND(L16*$K$4,0)</f>
        <v>0</v>
      </c>
      <c r="M17" s="171">
        <f>ROUND(M16*$D17,0)</f>
        <v>0</v>
      </c>
      <c r="N17" s="192">
        <f>ROUND(N16*$K$4,0)</f>
        <v>0</v>
      </c>
      <c r="O17" s="183">
        <f t="shared" si="1"/>
        <v>0</v>
      </c>
      <c r="P17" s="191">
        <f t="shared" si="2"/>
        <v>0</v>
      </c>
    </row>
    <row r="18" spans="1:52" x14ac:dyDescent="0.2">
      <c r="A18" s="20"/>
      <c r="B18" s="142" t="s">
        <v>70</v>
      </c>
      <c r="C18" s="22" t="s">
        <v>20</v>
      </c>
      <c r="D18" s="276"/>
      <c r="E18" s="2">
        <v>0</v>
      </c>
      <c r="F18" s="86">
        <v>0</v>
      </c>
      <c r="G18" s="2">
        <f t="shared" ref="G18:N18" si="4">ROUND(E18*(1+$J$9), 0)</f>
        <v>0</v>
      </c>
      <c r="H18" s="86">
        <f t="shared" si="4"/>
        <v>0</v>
      </c>
      <c r="I18" s="2">
        <f t="shared" si="4"/>
        <v>0</v>
      </c>
      <c r="J18" s="86">
        <f t="shared" si="4"/>
        <v>0</v>
      </c>
      <c r="K18" s="2">
        <f t="shared" si="4"/>
        <v>0</v>
      </c>
      <c r="L18" s="86">
        <f t="shared" si="4"/>
        <v>0</v>
      </c>
      <c r="M18" s="2">
        <f t="shared" si="4"/>
        <v>0</v>
      </c>
      <c r="N18" s="86">
        <f t="shared" si="4"/>
        <v>0</v>
      </c>
      <c r="O18" s="61">
        <f t="shared" si="1"/>
        <v>0</v>
      </c>
      <c r="P18" s="99">
        <f t="shared" si="2"/>
        <v>0</v>
      </c>
    </row>
    <row r="19" spans="1:52" x14ac:dyDescent="0.2">
      <c r="A19" s="20"/>
      <c r="B19" s="274"/>
      <c r="C19" s="143" t="s">
        <v>21</v>
      </c>
      <c r="D19" s="144">
        <f>$J$4</f>
        <v>0.40889999999999999</v>
      </c>
      <c r="E19" s="171">
        <f>ROUND(E18*$D19,0)</f>
        <v>0</v>
      </c>
      <c r="F19" s="192">
        <f>ROUND(F18*$K$4,0)</f>
        <v>0</v>
      </c>
      <c r="G19" s="171">
        <f>ROUND(G18*$D19,0)</f>
        <v>0</v>
      </c>
      <c r="H19" s="192">
        <f>ROUND(H18*$K$4,0)</f>
        <v>0</v>
      </c>
      <c r="I19" s="171">
        <f>ROUND(I18*$D19,0)</f>
        <v>0</v>
      </c>
      <c r="J19" s="192">
        <f>ROUND(J18*$K$4,0)</f>
        <v>0</v>
      </c>
      <c r="K19" s="171">
        <f>ROUND(K18*$D19,0)</f>
        <v>0</v>
      </c>
      <c r="L19" s="192">
        <f>ROUND(L18*$K$4,0)</f>
        <v>0</v>
      </c>
      <c r="M19" s="171">
        <f>ROUND(M18*$D19,0)</f>
        <v>0</v>
      </c>
      <c r="N19" s="192">
        <f>ROUND(N18*$K$4,0)</f>
        <v>0</v>
      </c>
      <c r="O19" s="183">
        <f t="shared" si="1"/>
        <v>0</v>
      </c>
      <c r="P19" s="191">
        <f t="shared" si="2"/>
        <v>0</v>
      </c>
    </row>
    <row r="20" spans="1:52" x14ac:dyDescent="0.2">
      <c r="A20" s="20"/>
      <c r="B20" s="142" t="s">
        <v>71</v>
      </c>
      <c r="C20" s="22" t="s">
        <v>20</v>
      </c>
      <c r="D20" s="276"/>
      <c r="E20" s="2">
        <v>0</v>
      </c>
      <c r="F20" s="86">
        <v>0</v>
      </c>
      <c r="G20" s="2">
        <f t="shared" ref="G20:N20" si="5">ROUND(E20*(1+$J$9), 0)</f>
        <v>0</v>
      </c>
      <c r="H20" s="86">
        <f t="shared" si="5"/>
        <v>0</v>
      </c>
      <c r="I20" s="2">
        <f t="shared" si="5"/>
        <v>0</v>
      </c>
      <c r="J20" s="86">
        <f t="shared" si="5"/>
        <v>0</v>
      </c>
      <c r="K20" s="2">
        <f t="shared" si="5"/>
        <v>0</v>
      </c>
      <c r="L20" s="86">
        <f t="shared" si="5"/>
        <v>0</v>
      </c>
      <c r="M20" s="2">
        <f t="shared" si="5"/>
        <v>0</v>
      </c>
      <c r="N20" s="86">
        <f t="shared" si="5"/>
        <v>0</v>
      </c>
      <c r="O20" s="61">
        <f t="shared" si="1"/>
        <v>0</v>
      </c>
      <c r="P20" s="99">
        <f t="shared" si="2"/>
        <v>0</v>
      </c>
    </row>
    <row r="21" spans="1:52" ht="12.75" customHeight="1" x14ac:dyDescent="0.2">
      <c r="A21" s="20"/>
      <c r="B21" s="274"/>
      <c r="C21" s="143" t="s">
        <v>21</v>
      </c>
      <c r="D21" s="144">
        <f>$J$4</f>
        <v>0.40889999999999999</v>
      </c>
      <c r="E21" s="171">
        <f>ROUND(E20*$D21,0)</f>
        <v>0</v>
      </c>
      <c r="F21" s="192">
        <f>ROUND(F20*$K$4,0)</f>
        <v>0</v>
      </c>
      <c r="G21" s="171">
        <f>ROUND(G20*$D21,0)</f>
        <v>0</v>
      </c>
      <c r="H21" s="192">
        <f>ROUND(H20*$K$4,0)</f>
        <v>0</v>
      </c>
      <c r="I21" s="171">
        <f>ROUND(I20*$D21,0)</f>
        <v>0</v>
      </c>
      <c r="J21" s="192">
        <f>ROUND(J20*$K$4,0)</f>
        <v>0</v>
      </c>
      <c r="K21" s="171">
        <f>ROUND(K20*$D21,0)</f>
        <v>0</v>
      </c>
      <c r="L21" s="192">
        <f>ROUND(L20*$K$4,0)</f>
        <v>0</v>
      </c>
      <c r="M21" s="171">
        <f>ROUND(M20*$D21,0)</f>
        <v>0</v>
      </c>
      <c r="N21" s="192">
        <f>ROUND(N20*$K$4,0)</f>
        <v>0</v>
      </c>
      <c r="O21" s="183">
        <f t="shared" si="1"/>
        <v>0</v>
      </c>
      <c r="P21" s="191">
        <f t="shared" si="2"/>
        <v>0</v>
      </c>
    </row>
    <row r="22" spans="1:52" ht="12.75" customHeight="1" x14ac:dyDescent="0.2">
      <c r="A22" s="20"/>
      <c r="B22" s="142" t="s">
        <v>72</v>
      </c>
      <c r="C22" s="22" t="s">
        <v>20</v>
      </c>
      <c r="D22" s="276"/>
      <c r="E22" s="2">
        <v>0</v>
      </c>
      <c r="F22" s="86">
        <v>0</v>
      </c>
      <c r="G22" s="2">
        <f t="shared" ref="G22:N22" si="6">ROUND(E22*(1+$J$9), 0)</f>
        <v>0</v>
      </c>
      <c r="H22" s="86">
        <f t="shared" si="6"/>
        <v>0</v>
      </c>
      <c r="I22" s="2">
        <f t="shared" si="6"/>
        <v>0</v>
      </c>
      <c r="J22" s="86">
        <f t="shared" si="6"/>
        <v>0</v>
      </c>
      <c r="K22" s="2">
        <f t="shared" si="6"/>
        <v>0</v>
      </c>
      <c r="L22" s="86">
        <f t="shared" si="6"/>
        <v>0</v>
      </c>
      <c r="M22" s="2">
        <f t="shared" si="6"/>
        <v>0</v>
      </c>
      <c r="N22" s="86">
        <f t="shared" si="6"/>
        <v>0</v>
      </c>
      <c r="O22" s="61">
        <f t="shared" si="1"/>
        <v>0</v>
      </c>
      <c r="P22" s="99">
        <f t="shared" si="2"/>
        <v>0</v>
      </c>
    </row>
    <row r="23" spans="1:52" ht="12.75" customHeight="1" x14ac:dyDescent="0.2">
      <c r="A23" s="20"/>
      <c r="B23" s="274"/>
      <c r="C23" s="143" t="s">
        <v>21</v>
      </c>
      <c r="D23" s="144">
        <f>$J$4</f>
        <v>0.40889999999999999</v>
      </c>
      <c r="E23" s="171">
        <f>ROUND(E22*$D23,0)</f>
        <v>0</v>
      </c>
      <c r="F23" s="192">
        <f>ROUND(F22*$K$4,0)</f>
        <v>0</v>
      </c>
      <c r="G23" s="171">
        <f>ROUND(G22*$D23,0)</f>
        <v>0</v>
      </c>
      <c r="H23" s="192">
        <f>ROUND(H22*$K$4,0)</f>
        <v>0</v>
      </c>
      <c r="I23" s="171">
        <f>ROUND(I22*$D23,0)</f>
        <v>0</v>
      </c>
      <c r="J23" s="192">
        <f>ROUND(J22*$K$4,0)</f>
        <v>0</v>
      </c>
      <c r="K23" s="171">
        <f>ROUND(K22*$D23,0)</f>
        <v>0</v>
      </c>
      <c r="L23" s="192">
        <f>ROUND(L22*$K$4,0)</f>
        <v>0</v>
      </c>
      <c r="M23" s="171">
        <f>ROUND(M22*$D23,0)</f>
        <v>0</v>
      </c>
      <c r="N23" s="192">
        <f>ROUND(N22*$K$4,0)</f>
        <v>0</v>
      </c>
      <c r="O23" s="183">
        <f t="shared" si="1"/>
        <v>0</v>
      </c>
      <c r="P23" s="191">
        <f t="shared" si="2"/>
        <v>0</v>
      </c>
    </row>
    <row r="24" spans="1:52" ht="12.75" customHeight="1" x14ac:dyDescent="0.2">
      <c r="A24" s="20"/>
      <c r="B24" s="21" t="s">
        <v>22</v>
      </c>
      <c r="C24" s="22" t="s">
        <v>20</v>
      </c>
      <c r="D24" s="276"/>
      <c r="E24" s="2">
        <v>0</v>
      </c>
      <c r="F24" s="86">
        <v>0</v>
      </c>
      <c r="G24" s="2">
        <f t="shared" ref="G24:N24" si="7">ROUND(E24*(1+$J$9), 0)</f>
        <v>0</v>
      </c>
      <c r="H24" s="86">
        <f t="shared" si="7"/>
        <v>0</v>
      </c>
      <c r="I24" s="2">
        <f t="shared" si="7"/>
        <v>0</v>
      </c>
      <c r="J24" s="86">
        <f t="shared" si="7"/>
        <v>0</v>
      </c>
      <c r="K24" s="2">
        <f t="shared" si="7"/>
        <v>0</v>
      </c>
      <c r="L24" s="86">
        <f t="shared" si="7"/>
        <v>0</v>
      </c>
      <c r="M24" s="2">
        <f t="shared" si="7"/>
        <v>0</v>
      </c>
      <c r="N24" s="86">
        <f t="shared" si="7"/>
        <v>0</v>
      </c>
      <c r="O24" s="61">
        <f t="shared" si="1"/>
        <v>0</v>
      </c>
      <c r="P24" s="99">
        <f t="shared" si="2"/>
        <v>0</v>
      </c>
    </row>
    <row r="25" spans="1:52" ht="12.75" customHeight="1" x14ac:dyDescent="0.2">
      <c r="A25" s="20"/>
      <c r="B25" s="274"/>
      <c r="C25" s="143" t="s">
        <v>21</v>
      </c>
      <c r="D25" s="144">
        <f>$J$4</f>
        <v>0.40889999999999999</v>
      </c>
      <c r="E25" s="171">
        <f>ROUND(E24*$D25,0)</f>
        <v>0</v>
      </c>
      <c r="F25" s="192">
        <f>ROUND(F24*$K$4,0)</f>
        <v>0</v>
      </c>
      <c r="G25" s="171">
        <f>ROUND(G24*$D25,0)</f>
        <v>0</v>
      </c>
      <c r="H25" s="192">
        <f>ROUND(H24*$K$4,0)</f>
        <v>0</v>
      </c>
      <c r="I25" s="171">
        <f>ROUND(I24*$D25,0)</f>
        <v>0</v>
      </c>
      <c r="J25" s="192">
        <f>ROUND(J24*$K$4,0)</f>
        <v>0</v>
      </c>
      <c r="K25" s="171">
        <f>ROUND(K24*$D25,0)</f>
        <v>0</v>
      </c>
      <c r="L25" s="192">
        <f>ROUND(L24*$K$4,0)</f>
        <v>0</v>
      </c>
      <c r="M25" s="171">
        <f>ROUND(M24*$D25,0)</f>
        <v>0</v>
      </c>
      <c r="N25" s="192">
        <f>ROUND(N24*$K$4,0)</f>
        <v>0</v>
      </c>
      <c r="O25" s="183">
        <f t="shared" si="1"/>
        <v>0</v>
      </c>
      <c r="P25" s="191">
        <f t="shared" si="2"/>
        <v>0</v>
      </c>
    </row>
    <row r="26" spans="1:52" ht="4.5" customHeight="1" x14ac:dyDescent="0.2">
      <c r="A26" s="20"/>
      <c r="C26" s="26"/>
      <c r="D26" s="7"/>
      <c r="E26" s="25"/>
      <c r="F26" s="25"/>
      <c r="G26" s="25"/>
      <c r="H26" s="25"/>
      <c r="I26" s="25"/>
      <c r="J26" s="25"/>
      <c r="K26" s="25"/>
      <c r="L26" s="25"/>
      <c r="M26" s="25"/>
      <c r="N26" s="25"/>
      <c r="O26" s="221"/>
      <c r="P26" s="222"/>
    </row>
    <row r="27" spans="1:52" ht="11.25" customHeight="1" x14ac:dyDescent="0.2">
      <c r="A27" s="20"/>
      <c r="B27" s="204" t="s">
        <v>91</v>
      </c>
      <c r="C27" s="32" t="s">
        <v>20</v>
      </c>
      <c r="D27" s="7"/>
      <c r="E27" s="13">
        <f t="shared" ref="E27:N28" si="8">SUMIF($C$14:$C$26,$C27,E$14:E$26)</f>
        <v>0</v>
      </c>
      <c r="F27" s="87">
        <f t="shared" si="8"/>
        <v>0</v>
      </c>
      <c r="G27" s="13">
        <f t="shared" si="8"/>
        <v>0</v>
      </c>
      <c r="H27" s="87">
        <f t="shared" si="8"/>
        <v>0</v>
      </c>
      <c r="I27" s="13">
        <f t="shared" si="8"/>
        <v>0</v>
      </c>
      <c r="J27" s="87">
        <f t="shared" si="8"/>
        <v>0</v>
      </c>
      <c r="K27" s="13">
        <f t="shared" si="8"/>
        <v>0</v>
      </c>
      <c r="L27" s="87">
        <f t="shared" si="8"/>
        <v>0</v>
      </c>
      <c r="M27" s="13">
        <f t="shared" si="8"/>
        <v>0</v>
      </c>
      <c r="N27" s="87">
        <f t="shared" si="8"/>
        <v>0</v>
      </c>
      <c r="O27" s="61">
        <f>SUMIF($E$12:$N$12,$O$12,E27:N27)</f>
        <v>0</v>
      </c>
      <c r="P27" s="99">
        <f>SUMIF($E$12:$N$12,$P$12,E27:N27)</f>
        <v>0</v>
      </c>
    </row>
    <row r="28" spans="1:52" s="12" customFormat="1" ht="12.75" customHeight="1" x14ac:dyDescent="0.2">
      <c r="A28" s="27"/>
      <c r="B28" s="11"/>
      <c r="C28" s="59" t="s">
        <v>21</v>
      </c>
      <c r="D28" s="28"/>
      <c r="E28" s="29">
        <f t="shared" si="8"/>
        <v>0</v>
      </c>
      <c r="F28" s="88">
        <f t="shared" si="8"/>
        <v>0</v>
      </c>
      <c r="G28" s="29">
        <f t="shared" si="8"/>
        <v>0</v>
      </c>
      <c r="H28" s="88">
        <f t="shared" si="8"/>
        <v>0</v>
      </c>
      <c r="I28" s="29">
        <f t="shared" si="8"/>
        <v>0</v>
      </c>
      <c r="J28" s="88">
        <f t="shared" si="8"/>
        <v>0</v>
      </c>
      <c r="K28" s="29">
        <f t="shared" si="8"/>
        <v>0</v>
      </c>
      <c r="L28" s="88">
        <f t="shared" si="8"/>
        <v>0</v>
      </c>
      <c r="M28" s="29">
        <f t="shared" si="8"/>
        <v>0</v>
      </c>
      <c r="N28" s="88">
        <f t="shared" si="8"/>
        <v>0</v>
      </c>
      <c r="O28" s="62">
        <f>SUMIF($E$12:$N$12,$O$12,E28:N28)</f>
        <v>0</v>
      </c>
      <c r="P28" s="100">
        <f>SUMIF($E$12:$N$12,$P$12,E28:N28)</f>
        <v>0</v>
      </c>
      <c r="Q28"/>
      <c r="R28"/>
      <c r="S28"/>
      <c r="T28"/>
      <c r="U28"/>
      <c r="V28"/>
      <c r="W28"/>
      <c r="X28"/>
      <c r="Y28"/>
      <c r="Z28"/>
      <c r="AA28"/>
      <c r="AB28"/>
      <c r="AC28"/>
      <c r="AD28"/>
      <c r="AE28"/>
      <c r="AF28"/>
      <c r="AG28"/>
      <c r="AH28"/>
      <c r="AI28"/>
      <c r="AJ28"/>
      <c r="AK28"/>
      <c r="AL28"/>
      <c r="AM28"/>
      <c r="AN28"/>
      <c r="AO28"/>
      <c r="AP28"/>
      <c r="AQ28"/>
      <c r="AR28"/>
      <c r="AS28"/>
      <c r="AT28"/>
      <c r="AU28"/>
      <c r="AV28"/>
      <c r="AW28"/>
      <c r="AX28"/>
      <c r="AY28"/>
      <c r="AZ28"/>
    </row>
    <row r="29" spans="1:52" s="12" customFormat="1" ht="12" customHeight="1" x14ac:dyDescent="0.2">
      <c r="A29" s="27"/>
      <c r="B29" s="11"/>
      <c r="C29" s="32" t="s">
        <v>0</v>
      </c>
      <c r="D29" s="33"/>
      <c r="E29" s="34">
        <f>SUM(E27:E28)</f>
        <v>0</v>
      </c>
      <c r="F29" s="89">
        <f>SUM(F27:F28)</f>
        <v>0</v>
      </c>
      <c r="G29" s="34">
        <f t="shared" ref="G29:N29" si="9">SUM(G27:G28)</f>
        <v>0</v>
      </c>
      <c r="H29" s="89">
        <f t="shared" si="9"/>
        <v>0</v>
      </c>
      <c r="I29" s="34">
        <f t="shared" si="9"/>
        <v>0</v>
      </c>
      <c r="J29" s="89">
        <f t="shared" si="9"/>
        <v>0</v>
      </c>
      <c r="K29" s="34">
        <f t="shared" si="9"/>
        <v>0</v>
      </c>
      <c r="L29" s="89">
        <f t="shared" si="9"/>
        <v>0</v>
      </c>
      <c r="M29" s="34">
        <f t="shared" si="9"/>
        <v>0</v>
      </c>
      <c r="N29" s="89">
        <f t="shared" si="9"/>
        <v>0</v>
      </c>
      <c r="O29" s="64">
        <f>SUMIF($E$12:$N$12,$O$12,E29:N29)</f>
        <v>0</v>
      </c>
      <c r="P29" s="101">
        <f>SUMIF($E$12:$N$12,$P$12,E29:N29)</f>
        <v>0</v>
      </c>
      <c r="Q29"/>
      <c r="R29"/>
      <c r="S29"/>
      <c r="T29"/>
      <c r="U29"/>
      <c r="V29"/>
      <c r="W29"/>
      <c r="X29"/>
      <c r="Y29"/>
      <c r="Z29"/>
      <c r="AA29"/>
      <c r="AB29"/>
      <c r="AC29"/>
      <c r="AD29"/>
      <c r="AE29"/>
      <c r="AF29"/>
      <c r="AG29"/>
      <c r="AH29"/>
      <c r="AI29"/>
      <c r="AJ29"/>
      <c r="AK29"/>
      <c r="AL29"/>
      <c r="AM29"/>
      <c r="AN29"/>
      <c r="AO29"/>
      <c r="AP29"/>
      <c r="AQ29"/>
      <c r="AR29"/>
      <c r="AS29"/>
      <c r="AT29"/>
      <c r="AU29"/>
      <c r="AV29"/>
      <c r="AW29"/>
      <c r="AX29"/>
      <c r="AY29"/>
      <c r="AZ29"/>
    </row>
    <row r="30" spans="1:52" ht="12.75" customHeight="1" x14ac:dyDescent="0.2">
      <c r="A30" s="20" t="s">
        <v>2</v>
      </c>
      <c r="B30" s="161" t="s">
        <v>87</v>
      </c>
      <c r="C30" s="35"/>
      <c r="D30" s="35"/>
      <c r="E30" s="25"/>
      <c r="F30" s="25"/>
      <c r="G30" s="25"/>
      <c r="H30" s="25"/>
      <c r="I30" s="25"/>
      <c r="J30" s="25"/>
      <c r="K30" s="25"/>
      <c r="L30" s="25"/>
      <c r="M30" s="25"/>
      <c r="N30" s="25"/>
      <c r="O30" s="221"/>
      <c r="P30" s="222"/>
    </row>
    <row r="31" spans="1:52" x14ac:dyDescent="0.2">
      <c r="A31" s="20"/>
      <c r="B31" s="142" t="s">
        <v>110</v>
      </c>
      <c r="C31" s="22" t="s">
        <v>20</v>
      </c>
      <c r="D31" s="276"/>
      <c r="E31" s="2">
        <v>0</v>
      </c>
      <c r="F31" s="86">
        <v>0</v>
      </c>
      <c r="G31" s="2">
        <f t="shared" ref="G31:N31" si="10">ROUND(E31*(1+$J$9), 0)</f>
        <v>0</v>
      </c>
      <c r="H31" s="86">
        <f t="shared" si="10"/>
        <v>0</v>
      </c>
      <c r="I31" s="2">
        <f t="shared" si="10"/>
        <v>0</v>
      </c>
      <c r="J31" s="86">
        <f t="shared" si="10"/>
        <v>0</v>
      </c>
      <c r="K31" s="2">
        <f t="shared" si="10"/>
        <v>0</v>
      </c>
      <c r="L31" s="86">
        <f t="shared" si="10"/>
        <v>0</v>
      </c>
      <c r="M31" s="2">
        <f t="shared" si="10"/>
        <v>0</v>
      </c>
      <c r="N31" s="86">
        <f t="shared" si="10"/>
        <v>0</v>
      </c>
      <c r="O31" s="61">
        <f t="shared" ref="O31:O50" si="11">SUMIF($E$12:$N$12,$O$12,E31:N31)</f>
        <v>0</v>
      </c>
      <c r="P31" s="99">
        <f t="shared" ref="P31:P50" si="12">SUMIF($E$12:$N$12,$P$12,E31:N31)</f>
        <v>0</v>
      </c>
    </row>
    <row r="32" spans="1:52" x14ac:dyDescent="0.2">
      <c r="A32" s="20"/>
      <c r="B32" s="274"/>
      <c r="C32" s="143" t="s">
        <v>21</v>
      </c>
      <c r="D32" s="144">
        <f>$J$4</f>
        <v>0.40889999999999999</v>
      </c>
      <c r="E32" s="171">
        <f>ROUND(E31*$D32,0)</f>
        <v>0</v>
      </c>
      <c r="F32" s="192">
        <f>ROUND(F31*$K$4,0)</f>
        <v>0</v>
      </c>
      <c r="G32" s="171">
        <f>ROUND(G31*$D32,0)</f>
        <v>0</v>
      </c>
      <c r="H32" s="192">
        <f>ROUND(H31*$K$4,0)</f>
        <v>0</v>
      </c>
      <c r="I32" s="171">
        <f>ROUND(I31*$D32,0)</f>
        <v>0</v>
      </c>
      <c r="J32" s="192">
        <f>ROUND(J31*$K$4,0)</f>
        <v>0</v>
      </c>
      <c r="K32" s="171">
        <f>ROUND(K31*$D32,0)</f>
        <v>0</v>
      </c>
      <c r="L32" s="192">
        <f>ROUND(L31*$K$4,0)</f>
        <v>0</v>
      </c>
      <c r="M32" s="171">
        <f>ROUND(M31*$D32,0)</f>
        <v>0</v>
      </c>
      <c r="N32" s="192">
        <f>ROUND(N31*$K$4,0)</f>
        <v>0</v>
      </c>
      <c r="O32" s="183">
        <f t="shared" si="11"/>
        <v>0</v>
      </c>
      <c r="P32" s="191">
        <f t="shared" si="12"/>
        <v>0</v>
      </c>
    </row>
    <row r="33" spans="1:16" x14ac:dyDescent="0.2">
      <c r="A33" s="20"/>
      <c r="B33" s="21" t="s">
        <v>23</v>
      </c>
      <c r="C33" s="22" t="s">
        <v>20</v>
      </c>
      <c r="D33" s="276"/>
      <c r="E33" s="2">
        <v>0</v>
      </c>
      <c r="F33" s="86">
        <v>0</v>
      </c>
      <c r="G33" s="2">
        <f t="shared" ref="G33:N33" si="13">ROUND(E33*(1+$J$9), 0)</f>
        <v>0</v>
      </c>
      <c r="H33" s="86">
        <f t="shared" si="13"/>
        <v>0</v>
      </c>
      <c r="I33" s="2">
        <f t="shared" si="13"/>
        <v>0</v>
      </c>
      <c r="J33" s="86">
        <f t="shared" si="13"/>
        <v>0</v>
      </c>
      <c r="K33" s="2">
        <f t="shared" si="13"/>
        <v>0</v>
      </c>
      <c r="L33" s="86">
        <f t="shared" si="13"/>
        <v>0</v>
      </c>
      <c r="M33" s="2">
        <f t="shared" si="13"/>
        <v>0</v>
      </c>
      <c r="N33" s="86">
        <f t="shared" si="13"/>
        <v>0</v>
      </c>
      <c r="O33" s="61">
        <f t="shared" si="11"/>
        <v>0</v>
      </c>
      <c r="P33" s="99">
        <f t="shared" si="12"/>
        <v>0</v>
      </c>
    </row>
    <row r="34" spans="1:16" x14ac:dyDescent="0.2">
      <c r="A34" s="20"/>
      <c r="B34" s="274"/>
      <c r="C34" s="143" t="s">
        <v>21</v>
      </c>
      <c r="D34" s="144">
        <f>$J$4</f>
        <v>0.40889999999999999</v>
      </c>
      <c r="E34" s="171">
        <f>ROUND(E33*$D34,0)</f>
        <v>0</v>
      </c>
      <c r="F34" s="192">
        <f>ROUND(F33*$K$4,0)</f>
        <v>0</v>
      </c>
      <c r="G34" s="171">
        <f>ROUND(G33*$D34,0)</f>
        <v>0</v>
      </c>
      <c r="H34" s="192">
        <f>ROUND(H33*$K$4,0)</f>
        <v>0</v>
      </c>
      <c r="I34" s="171">
        <f>ROUND(I33*$D34,0)</f>
        <v>0</v>
      </c>
      <c r="J34" s="192">
        <f>ROUND(J33*$K$4,0)</f>
        <v>0</v>
      </c>
      <c r="K34" s="171">
        <f>ROUND(K33*$D34,0)</f>
        <v>0</v>
      </c>
      <c r="L34" s="192">
        <f>ROUND(L33*$K$4,0)</f>
        <v>0</v>
      </c>
      <c r="M34" s="171">
        <f>ROUND(M33*$D34,0)</f>
        <v>0</v>
      </c>
      <c r="N34" s="192">
        <f>ROUND(N33*$K$4,0)</f>
        <v>0</v>
      </c>
      <c r="O34" s="183">
        <f t="shared" si="11"/>
        <v>0</v>
      </c>
      <c r="P34" s="191">
        <f t="shared" si="12"/>
        <v>0</v>
      </c>
    </row>
    <row r="35" spans="1:16" x14ac:dyDescent="0.2">
      <c r="A35" s="20"/>
      <c r="B35" s="142" t="s">
        <v>109</v>
      </c>
      <c r="C35" s="22" t="s">
        <v>20</v>
      </c>
      <c r="D35" s="276"/>
      <c r="E35" s="2">
        <v>0</v>
      </c>
      <c r="F35" s="86">
        <v>0</v>
      </c>
      <c r="G35" s="2">
        <f t="shared" ref="G35:N35" si="14">ROUND(E35*(1+$J$9), 0)</f>
        <v>0</v>
      </c>
      <c r="H35" s="86">
        <f>ROUND(F35*(1+$J$9), 0)</f>
        <v>0</v>
      </c>
      <c r="I35" s="2">
        <f t="shared" si="14"/>
        <v>0</v>
      </c>
      <c r="J35" s="86">
        <f t="shared" si="14"/>
        <v>0</v>
      </c>
      <c r="K35" s="2">
        <f t="shared" si="14"/>
        <v>0</v>
      </c>
      <c r="L35" s="86">
        <f t="shared" si="14"/>
        <v>0</v>
      </c>
      <c r="M35" s="2">
        <f t="shared" si="14"/>
        <v>0</v>
      </c>
      <c r="N35" s="86">
        <f t="shared" si="14"/>
        <v>0</v>
      </c>
      <c r="O35" s="61">
        <f t="shared" si="11"/>
        <v>0</v>
      </c>
      <c r="P35" s="99">
        <f t="shared" si="12"/>
        <v>0</v>
      </c>
    </row>
    <row r="36" spans="1:16" x14ac:dyDescent="0.2">
      <c r="A36" s="20"/>
      <c r="B36" s="274" t="s">
        <v>165</v>
      </c>
      <c r="C36" s="143" t="s">
        <v>21</v>
      </c>
      <c r="D36" s="144">
        <f>$J$5</f>
        <v>8.5500000000000007E-2</v>
      </c>
      <c r="E36" s="171">
        <f>ROUND(E35*$D36,0)</f>
        <v>0</v>
      </c>
      <c r="F36" s="192">
        <f>ROUND(F35*$K$5,0)</f>
        <v>0</v>
      </c>
      <c r="G36" s="171">
        <f>ROUND(G35*$D36,0)</f>
        <v>0</v>
      </c>
      <c r="H36" s="192">
        <f>ROUND(H35*$K$5,0)</f>
        <v>0</v>
      </c>
      <c r="I36" s="171">
        <f>ROUND(I35*$D36,0)</f>
        <v>0</v>
      </c>
      <c r="J36" s="192">
        <f>ROUND(J35*$K$4,0)</f>
        <v>0</v>
      </c>
      <c r="K36" s="171">
        <f>ROUND(K35*$D36,0)</f>
        <v>0</v>
      </c>
      <c r="L36" s="192">
        <f>ROUND(L35*$K$4,0)</f>
        <v>0</v>
      </c>
      <c r="M36" s="171">
        <f>ROUND(M35*$D36,0)</f>
        <v>0</v>
      </c>
      <c r="N36" s="192">
        <f>ROUND(N35*$K$4,0)</f>
        <v>0</v>
      </c>
      <c r="O36" s="183">
        <f t="shared" si="11"/>
        <v>0</v>
      </c>
      <c r="P36" s="191">
        <f t="shared" si="12"/>
        <v>0</v>
      </c>
    </row>
    <row r="37" spans="1:16" x14ac:dyDescent="0.2">
      <c r="A37" s="20"/>
      <c r="B37" s="142" t="s">
        <v>109</v>
      </c>
      <c r="C37" s="22" t="s">
        <v>20</v>
      </c>
      <c r="D37" s="276"/>
      <c r="E37" s="2">
        <v>0</v>
      </c>
      <c r="F37" s="86">
        <v>0</v>
      </c>
      <c r="G37" s="2">
        <f t="shared" ref="G37:N37" si="15">ROUND(E37*(1+$J$9), 0)</f>
        <v>0</v>
      </c>
      <c r="H37" s="86">
        <f t="shared" si="15"/>
        <v>0</v>
      </c>
      <c r="I37" s="2">
        <f t="shared" si="15"/>
        <v>0</v>
      </c>
      <c r="J37" s="86">
        <f t="shared" si="15"/>
        <v>0</v>
      </c>
      <c r="K37" s="2">
        <f t="shared" si="15"/>
        <v>0</v>
      </c>
      <c r="L37" s="86">
        <f t="shared" si="15"/>
        <v>0</v>
      </c>
      <c r="M37" s="2">
        <f t="shared" si="15"/>
        <v>0</v>
      </c>
      <c r="N37" s="86">
        <f t="shared" si="15"/>
        <v>0</v>
      </c>
      <c r="O37" s="61">
        <f>SUMIF($E$12:$N$12,$O$12,E37:N37)</f>
        <v>0</v>
      </c>
      <c r="P37" s="99">
        <f>SUMIF($E$12:$N$12,$P$12,E37:N37)</f>
        <v>0</v>
      </c>
    </row>
    <row r="38" spans="1:16" x14ac:dyDescent="0.2">
      <c r="A38" s="20"/>
      <c r="B38" s="274" t="s">
        <v>166</v>
      </c>
      <c r="C38" s="143" t="s">
        <v>21</v>
      </c>
      <c r="D38" s="144">
        <f>$J$6</f>
        <v>0.16200000000000001</v>
      </c>
      <c r="E38" s="171">
        <f>ROUND(E37*$D38,0)</f>
        <v>0</v>
      </c>
      <c r="F38" s="192">
        <f>ROUND(F37*$K$6,0)</f>
        <v>0</v>
      </c>
      <c r="G38" s="171">
        <f>ROUND(G37*$D38,0)</f>
        <v>0</v>
      </c>
      <c r="H38" s="192">
        <f>ROUND(H37*$K$5,0)</f>
        <v>0</v>
      </c>
      <c r="I38" s="171">
        <f>ROUND(I37*$D38,0)</f>
        <v>0</v>
      </c>
      <c r="J38" s="192">
        <f>ROUND(J37*$K$5,0)</f>
        <v>0</v>
      </c>
      <c r="K38" s="171">
        <f>ROUND(K37*$D38,0)</f>
        <v>0</v>
      </c>
      <c r="L38" s="192">
        <f>ROUND(L37*$K$5,0)</f>
        <v>0</v>
      </c>
      <c r="M38" s="171">
        <f>ROUND(M37*$D38,0)</f>
        <v>0</v>
      </c>
      <c r="N38" s="192">
        <f>ROUND(N37*$K$5,0)</f>
        <v>0</v>
      </c>
      <c r="O38" s="183">
        <f>SUMIF($E$12:$N$12,$O$12,E38:N38)</f>
        <v>0</v>
      </c>
      <c r="P38" s="191">
        <f>SUMIF($E$12:$N$12,$P$12,E38:N38)</f>
        <v>0</v>
      </c>
    </row>
    <row r="39" spans="1:16" x14ac:dyDescent="0.2">
      <c r="A39" s="20"/>
      <c r="B39" s="21" t="s">
        <v>24</v>
      </c>
      <c r="C39" s="22" t="s">
        <v>20</v>
      </c>
      <c r="D39" s="276"/>
      <c r="E39" s="2">
        <v>0</v>
      </c>
      <c r="F39" s="86">
        <v>0</v>
      </c>
      <c r="G39" s="2">
        <f t="shared" ref="G39:N39" si="16">ROUND(E39*(1+$J$9), 0)</f>
        <v>0</v>
      </c>
      <c r="H39" s="86">
        <f t="shared" si="16"/>
        <v>0</v>
      </c>
      <c r="I39" s="2">
        <f t="shared" si="16"/>
        <v>0</v>
      </c>
      <c r="J39" s="86">
        <f t="shared" si="16"/>
        <v>0</v>
      </c>
      <c r="K39" s="2">
        <f t="shared" si="16"/>
        <v>0</v>
      </c>
      <c r="L39" s="86">
        <f t="shared" si="16"/>
        <v>0</v>
      </c>
      <c r="M39" s="2">
        <f t="shared" si="16"/>
        <v>0</v>
      </c>
      <c r="N39" s="86">
        <f t="shared" si="16"/>
        <v>0</v>
      </c>
      <c r="O39" s="61">
        <f t="shared" si="11"/>
        <v>0</v>
      </c>
      <c r="P39" s="99">
        <f t="shared" si="12"/>
        <v>0</v>
      </c>
    </row>
    <row r="40" spans="1:16" x14ac:dyDescent="0.2">
      <c r="A40" s="20"/>
      <c r="B40" s="274" t="s">
        <v>165</v>
      </c>
      <c r="C40" s="143" t="s">
        <v>21</v>
      </c>
      <c r="D40" s="144">
        <f>$J$7</f>
        <v>1E-4</v>
      </c>
      <c r="E40" s="171">
        <f>ROUND(E39*$D40,0)</f>
        <v>0</v>
      </c>
      <c r="F40" s="192">
        <f>ROUND(F39*$K$7,0)</f>
        <v>0</v>
      </c>
      <c r="G40" s="171">
        <f>ROUND(G39*$D40,0)</f>
        <v>0</v>
      </c>
      <c r="H40" s="192">
        <f>ROUND(H39*$K$7,0)</f>
        <v>0</v>
      </c>
      <c r="I40" s="171">
        <f>ROUND(I39*$D40,0)</f>
        <v>0</v>
      </c>
      <c r="J40" s="192">
        <f>ROUND(J39*$K$7,0)</f>
        <v>0</v>
      </c>
      <c r="K40" s="171">
        <f>ROUND(K39*$D40,0)</f>
        <v>0</v>
      </c>
      <c r="L40" s="192">
        <f>ROUND(L39*$K$7,0)</f>
        <v>0</v>
      </c>
      <c r="M40" s="171">
        <f>ROUND(M39*$D40,0)</f>
        <v>0</v>
      </c>
      <c r="N40" s="192">
        <f>ROUND(N39*$K$7,0)</f>
        <v>0</v>
      </c>
      <c r="O40" s="183">
        <f t="shared" si="11"/>
        <v>0</v>
      </c>
      <c r="P40" s="191">
        <f t="shared" si="12"/>
        <v>0</v>
      </c>
    </row>
    <row r="41" spans="1:16" x14ac:dyDescent="0.2">
      <c r="A41" s="20"/>
      <c r="B41" s="21" t="s">
        <v>24</v>
      </c>
      <c r="C41" s="22" t="s">
        <v>20</v>
      </c>
      <c r="D41" s="276"/>
      <c r="E41" s="2">
        <v>0</v>
      </c>
      <c r="F41" s="86">
        <v>0</v>
      </c>
      <c r="G41" s="2">
        <f t="shared" ref="G41:N41" si="17">ROUND(E41*(1+$J$9), 0)</f>
        <v>0</v>
      </c>
      <c r="H41" s="86">
        <f t="shared" si="17"/>
        <v>0</v>
      </c>
      <c r="I41" s="2">
        <f t="shared" si="17"/>
        <v>0</v>
      </c>
      <c r="J41" s="86">
        <f t="shared" si="17"/>
        <v>0</v>
      </c>
      <c r="K41" s="2">
        <f t="shared" si="17"/>
        <v>0</v>
      </c>
      <c r="L41" s="86">
        <f t="shared" si="17"/>
        <v>0</v>
      </c>
      <c r="M41" s="2">
        <f t="shared" si="17"/>
        <v>0</v>
      </c>
      <c r="N41" s="86">
        <f t="shared" si="17"/>
        <v>0</v>
      </c>
      <c r="O41" s="61">
        <f>SUMIF($E$12:$N$12,$O$12,E41:N41)</f>
        <v>0</v>
      </c>
      <c r="P41" s="99">
        <f>SUMIF($E$12:$N$12,$P$12,E41:N41)</f>
        <v>0</v>
      </c>
    </row>
    <row r="42" spans="1:16" x14ac:dyDescent="0.2">
      <c r="A42" s="20"/>
      <c r="B42" s="274" t="s">
        <v>166</v>
      </c>
      <c r="C42" s="143" t="s">
        <v>21</v>
      </c>
      <c r="D42" s="144">
        <f>$J$8</f>
        <v>7.6600000000000001E-2</v>
      </c>
      <c r="E42" s="171">
        <f>ROUND(E41*$D42,0)</f>
        <v>0</v>
      </c>
      <c r="F42" s="192">
        <f>ROUND(F41*$K$7,0)</f>
        <v>0</v>
      </c>
      <c r="G42" s="171">
        <f>ROUND(G41*$D42,0)</f>
        <v>0</v>
      </c>
      <c r="H42" s="192">
        <f>ROUND(H41*$K$7,0)</f>
        <v>0</v>
      </c>
      <c r="I42" s="171">
        <f>ROUND(I41*$D42,0)</f>
        <v>0</v>
      </c>
      <c r="J42" s="192">
        <f>ROUND(J41*$K$7,0)</f>
        <v>0</v>
      </c>
      <c r="K42" s="171">
        <f>ROUND(K41*$D42,0)</f>
        <v>0</v>
      </c>
      <c r="L42" s="192">
        <f>ROUND(L41*$K$7,0)</f>
        <v>0</v>
      </c>
      <c r="M42" s="171">
        <f>ROUND(M41*$D42,0)</f>
        <v>0</v>
      </c>
      <c r="N42" s="192">
        <f>ROUND(N41*$K$7,0)</f>
        <v>0</v>
      </c>
      <c r="O42" s="183">
        <f>SUMIF($E$12:$N$12,$O$12,E42:N42)</f>
        <v>0</v>
      </c>
      <c r="P42" s="191">
        <f>SUMIF($E$12:$N$12,$P$12,E42:N42)</f>
        <v>0</v>
      </c>
    </row>
    <row r="43" spans="1:16" x14ac:dyDescent="0.2">
      <c r="A43" s="20"/>
      <c r="B43" s="142" t="s">
        <v>68</v>
      </c>
      <c r="C43" s="22" t="s">
        <v>20</v>
      </c>
      <c r="D43" s="276"/>
      <c r="E43" s="2">
        <v>0</v>
      </c>
      <c r="F43" s="86">
        <v>0</v>
      </c>
      <c r="G43" s="2">
        <f t="shared" ref="G43:N43" si="18">ROUND(E43*(1+$J$9), 0)</f>
        <v>0</v>
      </c>
      <c r="H43" s="86">
        <f t="shared" si="18"/>
        <v>0</v>
      </c>
      <c r="I43" s="2">
        <f t="shared" si="18"/>
        <v>0</v>
      </c>
      <c r="J43" s="86">
        <f t="shared" si="18"/>
        <v>0</v>
      </c>
      <c r="K43" s="2">
        <f t="shared" si="18"/>
        <v>0</v>
      </c>
      <c r="L43" s="86">
        <f t="shared" si="18"/>
        <v>0</v>
      </c>
      <c r="M43" s="2">
        <f t="shared" si="18"/>
        <v>0</v>
      </c>
      <c r="N43" s="86">
        <f t="shared" si="18"/>
        <v>0</v>
      </c>
      <c r="O43" s="61">
        <f t="shared" si="11"/>
        <v>0</v>
      </c>
      <c r="P43" s="99">
        <f t="shared" si="12"/>
        <v>0</v>
      </c>
    </row>
    <row r="44" spans="1:16" x14ac:dyDescent="0.2">
      <c r="A44" s="20"/>
      <c r="B44" s="274"/>
      <c r="C44" s="143" t="s">
        <v>21</v>
      </c>
      <c r="D44" s="144">
        <f>$J$4</f>
        <v>0.40889999999999999</v>
      </c>
      <c r="E44" s="171">
        <f>ROUND(E43*$D44,0)</f>
        <v>0</v>
      </c>
      <c r="F44" s="192">
        <f>ROUND(F43*$K$4,0)</f>
        <v>0</v>
      </c>
      <c r="G44" s="171">
        <f>ROUND(G43*$D44,0)</f>
        <v>0</v>
      </c>
      <c r="H44" s="192">
        <f>ROUND(H43*$K$4,0)</f>
        <v>0</v>
      </c>
      <c r="I44" s="171">
        <f>ROUND(I43*$D44,0)</f>
        <v>0</v>
      </c>
      <c r="J44" s="192">
        <f>ROUND(J43*$K$4,0)</f>
        <v>0</v>
      </c>
      <c r="K44" s="171">
        <f>ROUND(K43*$D44,0)</f>
        <v>0</v>
      </c>
      <c r="L44" s="192">
        <f>ROUND(L43*$K$4,0)</f>
        <v>0</v>
      </c>
      <c r="M44" s="171">
        <f>ROUND(M43*$D44,0)</f>
        <v>0</v>
      </c>
      <c r="N44" s="192">
        <f>ROUND(N43*$K$4,0)</f>
        <v>0</v>
      </c>
      <c r="O44" s="183">
        <f t="shared" si="11"/>
        <v>0</v>
      </c>
      <c r="P44" s="191">
        <f t="shared" si="12"/>
        <v>0</v>
      </c>
    </row>
    <row r="45" spans="1:16" x14ac:dyDescent="0.2">
      <c r="A45" s="20"/>
      <c r="B45" s="21" t="s">
        <v>25</v>
      </c>
      <c r="C45" s="159" t="s">
        <v>20</v>
      </c>
      <c r="D45" s="276"/>
      <c r="E45" s="2">
        <v>0</v>
      </c>
      <c r="F45" s="86">
        <v>0</v>
      </c>
      <c r="G45" s="2">
        <f t="shared" ref="G45:N45" si="19">ROUND(E45*(1+$J$9), 0)</f>
        <v>0</v>
      </c>
      <c r="H45" s="86">
        <f t="shared" si="19"/>
        <v>0</v>
      </c>
      <c r="I45" s="2">
        <f t="shared" si="19"/>
        <v>0</v>
      </c>
      <c r="J45" s="86">
        <f t="shared" si="19"/>
        <v>0</v>
      </c>
      <c r="K45" s="2">
        <f t="shared" si="19"/>
        <v>0</v>
      </c>
      <c r="L45" s="86">
        <f t="shared" si="19"/>
        <v>0</v>
      </c>
      <c r="M45" s="2">
        <f t="shared" si="19"/>
        <v>0</v>
      </c>
      <c r="N45" s="86">
        <f t="shared" si="19"/>
        <v>0</v>
      </c>
      <c r="O45" s="61">
        <f t="shared" si="11"/>
        <v>0</v>
      </c>
      <c r="P45" s="99">
        <f t="shared" si="12"/>
        <v>0</v>
      </c>
    </row>
    <row r="46" spans="1:16" x14ac:dyDescent="0.2">
      <c r="A46" s="20"/>
      <c r="B46" s="274"/>
      <c r="C46" s="143" t="s">
        <v>21</v>
      </c>
      <c r="D46" s="144">
        <f>$J$8</f>
        <v>7.6600000000000001E-2</v>
      </c>
      <c r="E46" s="171">
        <f>ROUND(E45*$D46,0)</f>
        <v>0</v>
      </c>
      <c r="F46" s="192">
        <f>ROUND(F45*$K$8,0)</f>
        <v>0</v>
      </c>
      <c r="G46" s="171">
        <f>ROUND(G45*$D46,0)</f>
        <v>0</v>
      </c>
      <c r="H46" s="192">
        <f>ROUND(H45*$K$8,0)</f>
        <v>0</v>
      </c>
      <c r="I46" s="171">
        <f>ROUND(I45*$D46,0)</f>
        <v>0</v>
      </c>
      <c r="J46" s="192">
        <f>ROUND(J45*$K$8,0)</f>
        <v>0</v>
      </c>
      <c r="K46" s="171">
        <f>ROUND(K45*$D46,0)</f>
        <v>0</v>
      </c>
      <c r="L46" s="192">
        <f>ROUND(L45*$K$8,0)</f>
        <v>0</v>
      </c>
      <c r="M46" s="171">
        <f>ROUND(M45*$D46,0)</f>
        <v>0</v>
      </c>
      <c r="N46" s="192">
        <f>ROUND(N45*$K$8,0)</f>
        <v>0</v>
      </c>
      <c r="O46" s="183">
        <f t="shared" si="11"/>
        <v>0</v>
      </c>
      <c r="P46" s="191">
        <f t="shared" si="12"/>
        <v>0</v>
      </c>
    </row>
    <row r="47" spans="1:16" ht="4.5" customHeight="1" x14ac:dyDescent="0.2">
      <c r="A47" s="20"/>
      <c r="B47" s="257"/>
      <c r="C47" s="143"/>
      <c r="D47" s="258"/>
      <c r="E47" s="259"/>
      <c r="F47" s="259"/>
      <c r="G47" s="259"/>
      <c r="H47" s="259"/>
      <c r="I47" s="259"/>
      <c r="J47" s="259"/>
      <c r="K47" s="259"/>
      <c r="L47" s="259"/>
      <c r="M47" s="259"/>
      <c r="N47" s="259"/>
      <c r="O47" s="260"/>
      <c r="P47" s="261"/>
    </row>
    <row r="48" spans="1:16" x14ac:dyDescent="0.2">
      <c r="A48" s="20"/>
      <c r="B48" s="204" t="s">
        <v>91</v>
      </c>
      <c r="C48" s="32" t="s">
        <v>20</v>
      </c>
      <c r="D48" s="7"/>
      <c r="E48" s="13">
        <f t="shared" ref="E48:N49" si="20">SUMIF($C$31:$C$47,$C48,E$31:E$47)</f>
        <v>0</v>
      </c>
      <c r="F48" s="87">
        <f t="shared" si="20"/>
        <v>0</v>
      </c>
      <c r="G48" s="13">
        <f t="shared" si="20"/>
        <v>0</v>
      </c>
      <c r="H48" s="87">
        <f t="shared" si="20"/>
        <v>0</v>
      </c>
      <c r="I48" s="13">
        <f t="shared" si="20"/>
        <v>0</v>
      </c>
      <c r="J48" s="87">
        <f t="shared" si="20"/>
        <v>0</v>
      </c>
      <c r="K48" s="13">
        <f t="shared" si="20"/>
        <v>0</v>
      </c>
      <c r="L48" s="87">
        <f t="shared" si="20"/>
        <v>0</v>
      </c>
      <c r="M48" s="13">
        <f t="shared" si="20"/>
        <v>0</v>
      </c>
      <c r="N48" s="87">
        <f t="shared" si="20"/>
        <v>0</v>
      </c>
      <c r="O48" s="61">
        <f t="shared" si="11"/>
        <v>0</v>
      </c>
      <c r="P48" s="99">
        <f t="shared" si="12"/>
        <v>0</v>
      </c>
    </row>
    <row r="49" spans="1:16" x14ac:dyDescent="0.2">
      <c r="A49" s="20"/>
      <c r="B49" s="21"/>
      <c r="C49" s="59" t="s">
        <v>21</v>
      </c>
      <c r="D49" s="213"/>
      <c r="E49" s="248">
        <f t="shared" si="20"/>
        <v>0</v>
      </c>
      <c r="F49" s="267">
        <f t="shared" si="20"/>
        <v>0</v>
      </c>
      <c r="G49" s="248">
        <f t="shared" si="20"/>
        <v>0</v>
      </c>
      <c r="H49" s="267">
        <f t="shared" si="20"/>
        <v>0</v>
      </c>
      <c r="I49" s="248">
        <f t="shared" si="20"/>
        <v>0</v>
      </c>
      <c r="J49" s="267">
        <f t="shared" si="20"/>
        <v>0</v>
      </c>
      <c r="K49" s="248">
        <f t="shared" si="20"/>
        <v>0</v>
      </c>
      <c r="L49" s="267">
        <f t="shared" si="20"/>
        <v>0</v>
      </c>
      <c r="M49" s="248">
        <f t="shared" si="20"/>
        <v>0</v>
      </c>
      <c r="N49" s="267">
        <f t="shared" si="20"/>
        <v>0</v>
      </c>
      <c r="O49" s="252">
        <f t="shared" si="11"/>
        <v>0</v>
      </c>
      <c r="P49" s="268">
        <f t="shared" si="12"/>
        <v>0</v>
      </c>
    </row>
    <row r="50" spans="1:16" x14ac:dyDescent="0.2">
      <c r="A50" s="20"/>
      <c r="C50" s="32" t="s">
        <v>0</v>
      </c>
      <c r="D50" s="26"/>
      <c r="E50" s="34">
        <f>SUM(E48:E49)</f>
        <v>0</v>
      </c>
      <c r="F50" s="89">
        <f>SUM(F48:F49)</f>
        <v>0</v>
      </c>
      <c r="G50" s="34">
        <f t="shared" ref="G50:N50" si="21">SUM(G48:G49)</f>
        <v>0</v>
      </c>
      <c r="H50" s="89">
        <f t="shared" si="21"/>
        <v>0</v>
      </c>
      <c r="I50" s="34">
        <f t="shared" si="21"/>
        <v>0</v>
      </c>
      <c r="J50" s="89">
        <f t="shared" si="21"/>
        <v>0</v>
      </c>
      <c r="K50" s="34">
        <f t="shared" si="21"/>
        <v>0</v>
      </c>
      <c r="L50" s="89">
        <f t="shared" si="21"/>
        <v>0</v>
      </c>
      <c r="M50" s="34">
        <f t="shared" si="21"/>
        <v>0</v>
      </c>
      <c r="N50" s="89">
        <f t="shared" si="21"/>
        <v>0</v>
      </c>
      <c r="O50" s="64">
        <f t="shared" si="11"/>
        <v>0</v>
      </c>
      <c r="P50" s="101">
        <f t="shared" si="12"/>
        <v>0</v>
      </c>
    </row>
    <row r="51" spans="1:16" ht="4.5" customHeight="1" x14ac:dyDescent="0.2">
      <c r="A51" s="20"/>
      <c r="C51" s="26"/>
      <c r="D51" s="26"/>
      <c r="E51" s="31"/>
      <c r="F51" s="31"/>
      <c r="G51" s="31"/>
      <c r="H51" s="31"/>
      <c r="I51" s="31"/>
      <c r="J51" s="31"/>
      <c r="K51" s="31"/>
      <c r="L51" s="31"/>
      <c r="M51" s="31"/>
      <c r="N51" s="31"/>
      <c r="O51" s="227"/>
      <c r="P51" s="228"/>
    </row>
    <row r="52" spans="1:16" x14ac:dyDescent="0.2">
      <c r="A52" s="20"/>
      <c r="B52"/>
      <c r="C52" s="32" t="s">
        <v>20</v>
      </c>
      <c r="D52" s="26"/>
      <c r="E52" s="13">
        <f t="shared" ref="E52:N52" si="22">E27+E48</f>
        <v>0</v>
      </c>
      <c r="F52" s="87">
        <f t="shared" si="22"/>
        <v>0</v>
      </c>
      <c r="G52" s="13">
        <f t="shared" si="22"/>
        <v>0</v>
      </c>
      <c r="H52" s="87">
        <f t="shared" si="22"/>
        <v>0</v>
      </c>
      <c r="I52" s="13">
        <f t="shared" si="22"/>
        <v>0</v>
      </c>
      <c r="J52" s="87">
        <f t="shared" si="22"/>
        <v>0</v>
      </c>
      <c r="K52" s="13">
        <f t="shared" si="22"/>
        <v>0</v>
      </c>
      <c r="L52" s="87">
        <f t="shared" si="22"/>
        <v>0</v>
      </c>
      <c r="M52" s="13">
        <f t="shared" si="22"/>
        <v>0</v>
      </c>
      <c r="N52" s="87">
        <f t="shared" si="22"/>
        <v>0</v>
      </c>
      <c r="O52" s="61">
        <f>SUMIF($E$12:$N$12,$O$12,E52:N52)</f>
        <v>0</v>
      </c>
      <c r="P52" s="99">
        <f>SUMIF($E$12:$N$12,$P$12,E52:N52)</f>
        <v>0</v>
      </c>
    </row>
    <row r="53" spans="1:16" x14ac:dyDescent="0.2">
      <c r="A53" s="20" t="s">
        <v>3</v>
      </c>
      <c r="B53" s="200" t="s">
        <v>88</v>
      </c>
      <c r="C53" s="59" t="s">
        <v>21</v>
      </c>
      <c r="D53" s="214"/>
      <c r="E53" s="248">
        <f t="shared" ref="E53:N53" si="23">E28+E49</f>
        <v>0</v>
      </c>
      <c r="F53" s="267">
        <f t="shared" si="23"/>
        <v>0</v>
      </c>
      <c r="G53" s="248">
        <f t="shared" si="23"/>
        <v>0</v>
      </c>
      <c r="H53" s="267">
        <f t="shared" si="23"/>
        <v>0</v>
      </c>
      <c r="I53" s="248">
        <f t="shared" si="23"/>
        <v>0</v>
      </c>
      <c r="J53" s="267">
        <f t="shared" si="23"/>
        <v>0</v>
      </c>
      <c r="K53" s="248">
        <f t="shared" si="23"/>
        <v>0</v>
      </c>
      <c r="L53" s="267">
        <f t="shared" si="23"/>
        <v>0</v>
      </c>
      <c r="M53" s="248">
        <f t="shared" si="23"/>
        <v>0</v>
      </c>
      <c r="N53" s="267">
        <f t="shared" si="23"/>
        <v>0</v>
      </c>
      <c r="O53" s="252">
        <f>SUMIF($E$12:$N$12,$O$12,E53:N53)</f>
        <v>0</v>
      </c>
      <c r="P53" s="268">
        <f>SUMIF($E$12:$N$12,$P$12,E53:N53)</f>
        <v>0</v>
      </c>
    </row>
    <row r="54" spans="1:16" x14ac:dyDescent="0.2">
      <c r="A54" s="37"/>
      <c r="B54" s="8" t="s">
        <v>29</v>
      </c>
      <c r="C54" s="32" t="s">
        <v>0</v>
      </c>
      <c r="D54" s="26"/>
      <c r="E54" s="34">
        <f>SUM(E52:E53)</f>
        <v>0</v>
      </c>
      <c r="F54" s="89">
        <f>SUM(F52:F53)</f>
        <v>0</v>
      </c>
      <c r="G54" s="34">
        <f t="shared" ref="G54:N54" si="24">SUM(G52:G53)</f>
        <v>0</v>
      </c>
      <c r="H54" s="89">
        <f t="shared" si="24"/>
        <v>0</v>
      </c>
      <c r="I54" s="34">
        <f t="shared" si="24"/>
        <v>0</v>
      </c>
      <c r="J54" s="89">
        <f t="shared" si="24"/>
        <v>0</v>
      </c>
      <c r="K54" s="34">
        <f t="shared" si="24"/>
        <v>0</v>
      </c>
      <c r="L54" s="89">
        <f t="shared" si="24"/>
        <v>0</v>
      </c>
      <c r="M54" s="34">
        <f t="shared" si="24"/>
        <v>0</v>
      </c>
      <c r="N54" s="89">
        <f t="shared" si="24"/>
        <v>0</v>
      </c>
      <c r="O54" s="64">
        <f>SUMIF($E$12:$N$12,$O$12,E54:N54)</f>
        <v>0</v>
      </c>
      <c r="P54" s="101">
        <f>SUMIF($E$12:$N$12,$P$12,E54:N54)</f>
        <v>0</v>
      </c>
    </row>
    <row r="55" spans="1:16" ht="4.5" customHeight="1" x14ac:dyDescent="0.2">
      <c r="A55" s="20"/>
      <c r="C55" s="23"/>
      <c r="D55" s="23"/>
      <c r="E55" s="25"/>
      <c r="F55" s="25"/>
      <c r="G55" s="25"/>
      <c r="H55" s="25"/>
      <c r="I55" s="25"/>
      <c r="J55" s="25"/>
      <c r="K55" s="25"/>
      <c r="L55" s="25"/>
      <c r="M55" s="25"/>
      <c r="N55" s="25"/>
      <c r="O55" s="221"/>
      <c r="P55" s="222"/>
    </row>
    <row r="56" spans="1:16" x14ac:dyDescent="0.2">
      <c r="A56" s="20" t="s">
        <v>4</v>
      </c>
      <c r="B56" s="162" t="s">
        <v>97</v>
      </c>
      <c r="D56" s="23"/>
      <c r="E56" s="3">
        <v>0</v>
      </c>
      <c r="F56" s="90">
        <v>0</v>
      </c>
      <c r="G56" s="3">
        <v>0</v>
      </c>
      <c r="H56" s="90">
        <v>0</v>
      </c>
      <c r="I56" s="3">
        <v>0</v>
      </c>
      <c r="J56" s="90">
        <v>0</v>
      </c>
      <c r="K56" s="3">
        <v>0</v>
      </c>
      <c r="L56" s="90">
        <v>0</v>
      </c>
      <c r="M56" s="3">
        <v>0</v>
      </c>
      <c r="N56" s="90">
        <v>0</v>
      </c>
      <c r="O56" s="61">
        <f>SUMIF($E$12:$N$12,$O$12,E56:N56)</f>
        <v>0</v>
      </c>
      <c r="P56" s="99">
        <f>SUMIF($E$12:$N$12,$P$12,E56:N56)</f>
        <v>0</v>
      </c>
    </row>
    <row r="57" spans="1:16" ht="4.5" customHeight="1" x14ac:dyDescent="0.2">
      <c r="A57" s="20"/>
      <c r="C57" s="23"/>
      <c r="D57" s="23"/>
      <c r="E57" s="229"/>
      <c r="F57" s="229"/>
      <c r="G57" s="229"/>
      <c r="H57" s="229"/>
      <c r="I57" s="229"/>
      <c r="J57" s="229"/>
      <c r="K57" s="229"/>
      <c r="L57" s="229"/>
      <c r="M57" s="229"/>
      <c r="N57" s="229"/>
      <c r="O57" s="221"/>
      <c r="P57" s="222"/>
    </row>
    <row r="58" spans="1:16" x14ac:dyDescent="0.2">
      <c r="A58" s="20" t="s">
        <v>5</v>
      </c>
      <c r="B58" s="23" t="s">
        <v>93</v>
      </c>
      <c r="D58" s="23"/>
      <c r="E58" s="2">
        <v>0</v>
      </c>
      <c r="F58" s="86">
        <v>0</v>
      </c>
      <c r="G58" s="2">
        <f t="shared" ref="G58:N59" si="25">ROUND(E58*(1+$J$10),0)</f>
        <v>0</v>
      </c>
      <c r="H58" s="86">
        <f t="shared" si="25"/>
        <v>0</v>
      </c>
      <c r="I58" s="2">
        <f t="shared" si="25"/>
        <v>0</v>
      </c>
      <c r="J58" s="86">
        <f t="shared" si="25"/>
        <v>0</v>
      </c>
      <c r="K58" s="2">
        <f t="shared" si="25"/>
        <v>0</v>
      </c>
      <c r="L58" s="86">
        <f t="shared" si="25"/>
        <v>0</v>
      </c>
      <c r="M58" s="2">
        <f t="shared" si="25"/>
        <v>0</v>
      </c>
      <c r="N58" s="86">
        <f t="shared" si="25"/>
        <v>0</v>
      </c>
      <c r="O58" s="61">
        <f>SUMIF($E$12:$N$12,$O$12,E58:N58)</f>
        <v>0</v>
      </c>
      <c r="P58" s="99">
        <f>SUMIF($E$12:$N$12,$P$12,E58:N58)</f>
        <v>0</v>
      </c>
    </row>
    <row r="59" spans="1:16" ht="11.25" customHeight="1" x14ac:dyDescent="0.2">
      <c r="A59" s="20"/>
      <c r="B59" s="23" t="s">
        <v>94</v>
      </c>
      <c r="D59" s="23"/>
      <c r="E59" s="2">
        <v>0</v>
      </c>
      <c r="F59" s="86">
        <v>0</v>
      </c>
      <c r="G59" s="2">
        <f t="shared" si="25"/>
        <v>0</v>
      </c>
      <c r="H59" s="86">
        <f t="shared" si="25"/>
        <v>0</v>
      </c>
      <c r="I59" s="2">
        <f t="shared" si="25"/>
        <v>0</v>
      </c>
      <c r="J59" s="86">
        <f t="shared" si="25"/>
        <v>0</v>
      </c>
      <c r="K59" s="2">
        <f t="shared" si="25"/>
        <v>0</v>
      </c>
      <c r="L59" s="86">
        <f t="shared" si="25"/>
        <v>0</v>
      </c>
      <c r="M59" s="2">
        <f t="shared" si="25"/>
        <v>0</v>
      </c>
      <c r="N59" s="86">
        <f t="shared" si="25"/>
        <v>0</v>
      </c>
      <c r="O59" s="61">
        <f>SUMIF($E$12:$N$12,$O$12,E59:N59)</f>
        <v>0</v>
      </c>
      <c r="P59" s="99">
        <f>SUMIF($E$12:$N$12,$P$12,E59:N59)</f>
        <v>0</v>
      </c>
    </row>
    <row r="60" spans="1:16" ht="4.5" customHeight="1" x14ac:dyDescent="0.2">
      <c r="A60" s="20"/>
      <c r="C60" s="23"/>
      <c r="D60" s="23"/>
      <c r="E60" s="25"/>
      <c r="F60" s="25"/>
      <c r="G60" s="25"/>
      <c r="H60" s="25"/>
      <c r="I60" s="25"/>
      <c r="J60" s="25"/>
      <c r="K60" s="25"/>
      <c r="L60" s="25"/>
      <c r="M60" s="25"/>
      <c r="N60" s="25"/>
      <c r="O60" s="221"/>
      <c r="P60" s="222"/>
    </row>
    <row r="61" spans="1:16" x14ac:dyDescent="0.2">
      <c r="A61" s="20" t="s">
        <v>36</v>
      </c>
      <c r="B61" s="161" t="s">
        <v>30</v>
      </c>
      <c r="C61" s="23"/>
      <c r="D61" s="23"/>
      <c r="E61" s="4">
        <v>0</v>
      </c>
      <c r="F61" s="91">
        <v>0</v>
      </c>
      <c r="G61" s="4">
        <f t="shared" ref="G61:N61" si="26">ROUND(E61*(1+$J$10),0)</f>
        <v>0</v>
      </c>
      <c r="H61" s="91">
        <f t="shared" si="26"/>
        <v>0</v>
      </c>
      <c r="I61" s="4">
        <f t="shared" si="26"/>
        <v>0</v>
      </c>
      <c r="J61" s="91">
        <f t="shared" si="26"/>
        <v>0</v>
      </c>
      <c r="K61" s="4">
        <f t="shared" si="26"/>
        <v>0</v>
      </c>
      <c r="L61" s="91">
        <f t="shared" si="26"/>
        <v>0</v>
      </c>
      <c r="M61" s="4">
        <f t="shared" si="26"/>
        <v>0</v>
      </c>
      <c r="N61" s="91">
        <f t="shared" si="26"/>
        <v>0</v>
      </c>
      <c r="O61" s="61">
        <f>SUMIF($E$12:$N$12,$O$12,E61:N61)</f>
        <v>0</v>
      </c>
      <c r="P61" s="99">
        <f>SUMIF($E$12:$N$12,$P$12,E61:N61)</f>
        <v>0</v>
      </c>
    </row>
    <row r="62" spans="1:16" ht="4.5" customHeight="1" x14ac:dyDescent="0.2">
      <c r="A62" s="20"/>
      <c r="C62" s="23"/>
      <c r="D62" s="23"/>
      <c r="E62" s="25"/>
      <c r="F62" s="25"/>
      <c r="G62" s="25"/>
      <c r="H62" s="25"/>
      <c r="I62" s="25"/>
      <c r="J62" s="25"/>
      <c r="K62" s="25"/>
      <c r="L62" s="25"/>
      <c r="M62" s="25"/>
      <c r="N62" s="25"/>
      <c r="O62" s="221"/>
      <c r="P62" s="222"/>
    </row>
    <row r="63" spans="1:16" x14ac:dyDescent="0.2">
      <c r="A63" s="20" t="s">
        <v>37</v>
      </c>
      <c r="B63" s="207" t="s">
        <v>85</v>
      </c>
      <c r="C63" s="26"/>
      <c r="D63" s="23"/>
      <c r="E63"/>
      <c r="F63"/>
      <c r="G63"/>
      <c r="H63"/>
      <c r="I63"/>
      <c r="J63"/>
      <c r="P63" s="240"/>
    </row>
    <row r="64" spans="1:16" x14ac:dyDescent="0.2">
      <c r="A64" s="20"/>
      <c r="B64" s="23" t="s">
        <v>12</v>
      </c>
      <c r="C64" s="26"/>
      <c r="D64" s="23"/>
      <c r="E64" s="2">
        <v>0</v>
      </c>
      <c r="F64" s="86">
        <v>0</v>
      </c>
      <c r="G64" s="2">
        <f t="shared" ref="G64:N64" si="27">ROUND(E64*(1+$J$10),0)</f>
        <v>0</v>
      </c>
      <c r="H64" s="86">
        <f t="shared" si="27"/>
        <v>0</v>
      </c>
      <c r="I64" s="2">
        <f t="shared" si="27"/>
        <v>0</v>
      </c>
      <c r="J64" s="86">
        <f t="shared" si="27"/>
        <v>0</v>
      </c>
      <c r="K64" s="2">
        <f t="shared" si="27"/>
        <v>0</v>
      </c>
      <c r="L64" s="86">
        <f t="shared" si="27"/>
        <v>0</v>
      </c>
      <c r="M64" s="2">
        <f t="shared" si="27"/>
        <v>0</v>
      </c>
      <c r="N64" s="86">
        <f t="shared" si="27"/>
        <v>0</v>
      </c>
      <c r="O64" s="61">
        <f t="shared" ref="O64:O72" si="28">SUMIF($E$12:$N$12,$O$12,E64:N64)</f>
        <v>0</v>
      </c>
      <c r="P64" s="99">
        <f t="shared" ref="P64:P72" si="29">SUMIF($E$12:$N$12,$P$12,E64:N64)</f>
        <v>0</v>
      </c>
    </row>
    <row r="65" spans="1:16" x14ac:dyDescent="0.2">
      <c r="A65" s="20"/>
      <c r="B65" s="23" t="s">
        <v>103</v>
      </c>
      <c r="C65" s="26"/>
      <c r="D65" s="23"/>
      <c r="E65" s="2">
        <v>0</v>
      </c>
      <c r="F65" s="86">
        <v>0</v>
      </c>
      <c r="G65" s="2">
        <f t="shared" ref="G65:N67" si="30">ROUND(E65*(1+$J$10),0)</f>
        <v>0</v>
      </c>
      <c r="H65" s="86">
        <f t="shared" si="30"/>
        <v>0</v>
      </c>
      <c r="I65" s="2">
        <f t="shared" si="30"/>
        <v>0</v>
      </c>
      <c r="J65" s="86">
        <f t="shared" si="30"/>
        <v>0</v>
      </c>
      <c r="K65" s="2">
        <f t="shared" si="30"/>
        <v>0</v>
      </c>
      <c r="L65" s="86">
        <f t="shared" si="30"/>
        <v>0</v>
      </c>
      <c r="M65" s="2">
        <f t="shared" si="30"/>
        <v>0</v>
      </c>
      <c r="N65" s="86">
        <f t="shared" si="30"/>
        <v>0</v>
      </c>
      <c r="O65" s="61">
        <f t="shared" si="28"/>
        <v>0</v>
      </c>
      <c r="P65" s="99">
        <f t="shared" si="29"/>
        <v>0</v>
      </c>
    </row>
    <row r="66" spans="1:16" x14ac:dyDescent="0.2">
      <c r="A66" s="20"/>
      <c r="B66" s="23" t="s">
        <v>102</v>
      </c>
      <c r="C66" s="23"/>
      <c r="D66" s="23"/>
      <c r="E66" s="2">
        <v>0</v>
      </c>
      <c r="F66" s="86">
        <v>0</v>
      </c>
      <c r="G66" s="2">
        <f t="shared" si="30"/>
        <v>0</v>
      </c>
      <c r="H66" s="86">
        <f t="shared" si="30"/>
        <v>0</v>
      </c>
      <c r="I66" s="2">
        <f t="shared" si="30"/>
        <v>0</v>
      </c>
      <c r="J66" s="86">
        <f t="shared" si="30"/>
        <v>0</v>
      </c>
      <c r="K66" s="2">
        <f t="shared" si="30"/>
        <v>0</v>
      </c>
      <c r="L66" s="86">
        <f t="shared" si="30"/>
        <v>0</v>
      </c>
      <c r="M66" s="2">
        <f t="shared" si="30"/>
        <v>0</v>
      </c>
      <c r="N66" s="86">
        <f t="shared" si="30"/>
        <v>0</v>
      </c>
      <c r="O66" s="61">
        <f t="shared" si="28"/>
        <v>0</v>
      </c>
      <c r="P66" s="99">
        <f t="shared" si="29"/>
        <v>0</v>
      </c>
    </row>
    <row r="67" spans="1:16" x14ac:dyDescent="0.2">
      <c r="A67" s="20"/>
      <c r="B67" s="23" t="s">
        <v>82</v>
      </c>
      <c r="C67" s="26"/>
      <c r="D67" s="23"/>
      <c r="E67" s="2">
        <v>0</v>
      </c>
      <c r="F67" s="86">
        <v>0</v>
      </c>
      <c r="G67" s="2">
        <f t="shared" si="30"/>
        <v>0</v>
      </c>
      <c r="H67" s="86">
        <f t="shared" si="30"/>
        <v>0</v>
      </c>
      <c r="I67" s="2">
        <f t="shared" si="30"/>
        <v>0</v>
      </c>
      <c r="J67" s="86">
        <f t="shared" si="30"/>
        <v>0</v>
      </c>
      <c r="K67" s="2">
        <f t="shared" si="30"/>
        <v>0</v>
      </c>
      <c r="L67" s="86">
        <f t="shared" si="30"/>
        <v>0</v>
      </c>
      <c r="M67" s="2">
        <f t="shared" si="30"/>
        <v>0</v>
      </c>
      <c r="N67" s="86">
        <f t="shared" si="30"/>
        <v>0</v>
      </c>
      <c r="O67" s="61">
        <f t="shared" si="28"/>
        <v>0</v>
      </c>
      <c r="P67" s="99">
        <f t="shared" si="29"/>
        <v>0</v>
      </c>
    </row>
    <row r="68" spans="1:16" x14ac:dyDescent="0.2">
      <c r="A68" s="20"/>
      <c r="B68" s="347" t="s">
        <v>175</v>
      </c>
      <c r="C68" s="26"/>
      <c r="D68" s="23"/>
      <c r="E68" s="4">
        <v>0</v>
      </c>
      <c r="F68" s="91">
        <v>0</v>
      </c>
      <c r="G68" s="4">
        <f t="shared" ref="G68:N68" si="31">ROUND(E68*(1+$J$10),0)</f>
        <v>0</v>
      </c>
      <c r="H68" s="91">
        <f t="shared" si="31"/>
        <v>0</v>
      </c>
      <c r="I68" s="4">
        <f t="shared" si="31"/>
        <v>0</v>
      </c>
      <c r="J68" s="91">
        <f t="shared" si="31"/>
        <v>0</v>
      </c>
      <c r="K68" s="4">
        <f t="shared" si="31"/>
        <v>0</v>
      </c>
      <c r="L68" s="91">
        <f t="shared" si="31"/>
        <v>0</v>
      </c>
      <c r="M68" s="4">
        <f t="shared" si="31"/>
        <v>0</v>
      </c>
      <c r="N68" s="91">
        <f t="shared" si="31"/>
        <v>0</v>
      </c>
      <c r="O68" s="61">
        <f t="shared" si="28"/>
        <v>0</v>
      </c>
      <c r="P68" s="99">
        <f t="shared" si="29"/>
        <v>0</v>
      </c>
    </row>
    <row r="69" spans="1:16" x14ac:dyDescent="0.2">
      <c r="A69" s="20"/>
      <c r="B69" s="23" t="s">
        <v>95</v>
      </c>
      <c r="C69" s="26"/>
      <c r="D69" s="23"/>
      <c r="E69" s="5">
        <v>0</v>
      </c>
      <c r="F69" s="92">
        <v>0</v>
      </c>
      <c r="G69" s="2">
        <v>0</v>
      </c>
      <c r="H69" s="86">
        <v>0</v>
      </c>
      <c r="I69" s="2">
        <v>0</v>
      </c>
      <c r="J69" s="86">
        <v>0</v>
      </c>
      <c r="K69" s="2">
        <v>0</v>
      </c>
      <c r="L69" s="86">
        <v>0</v>
      </c>
      <c r="M69" s="2">
        <v>0</v>
      </c>
      <c r="N69" s="86">
        <v>0</v>
      </c>
      <c r="O69" s="61">
        <f t="shared" si="28"/>
        <v>0</v>
      </c>
      <c r="P69" s="99">
        <f t="shared" si="29"/>
        <v>0</v>
      </c>
    </row>
    <row r="70" spans="1:16" x14ac:dyDescent="0.2">
      <c r="A70" s="20"/>
      <c r="B70" s="201" t="s">
        <v>186</v>
      </c>
      <c r="C70" s="26"/>
      <c r="D70" s="23"/>
      <c r="E70" s="6">
        <v>0</v>
      </c>
      <c r="F70" s="93">
        <v>0</v>
      </c>
      <c r="G70" s="4">
        <v>0</v>
      </c>
      <c r="H70" s="91">
        <v>0</v>
      </c>
      <c r="I70" s="4">
        <v>0</v>
      </c>
      <c r="J70" s="91">
        <v>0</v>
      </c>
      <c r="K70" s="4">
        <v>0</v>
      </c>
      <c r="L70" s="91">
        <v>0</v>
      </c>
      <c r="M70" s="4">
        <v>0</v>
      </c>
      <c r="N70" s="91">
        <v>0</v>
      </c>
      <c r="O70" s="61">
        <f t="shared" si="28"/>
        <v>0</v>
      </c>
      <c r="P70" s="99">
        <f t="shared" si="29"/>
        <v>0</v>
      </c>
    </row>
    <row r="71" spans="1:16" x14ac:dyDescent="0.2">
      <c r="A71" s="20"/>
      <c r="B71" s="23" t="s">
        <v>96</v>
      </c>
      <c r="C71" s="26"/>
      <c r="D71" s="23"/>
      <c r="E71" s="5">
        <v>0</v>
      </c>
      <c r="F71" s="92">
        <v>0</v>
      </c>
      <c r="G71" s="2">
        <v>0</v>
      </c>
      <c r="H71" s="86">
        <v>0</v>
      </c>
      <c r="I71" s="2">
        <v>0</v>
      </c>
      <c r="J71" s="86">
        <v>0</v>
      </c>
      <c r="K71" s="2">
        <v>0</v>
      </c>
      <c r="L71" s="86">
        <v>0</v>
      </c>
      <c r="M71" s="2">
        <v>0</v>
      </c>
      <c r="N71" s="86">
        <v>0</v>
      </c>
      <c r="O71" s="61">
        <f t="shared" si="28"/>
        <v>0</v>
      </c>
      <c r="P71" s="99">
        <f t="shared" si="29"/>
        <v>0</v>
      </c>
    </row>
    <row r="72" spans="1:16" x14ac:dyDescent="0.2">
      <c r="A72" s="20"/>
      <c r="B72" s="201" t="s">
        <v>186</v>
      </c>
      <c r="C72" s="26"/>
      <c r="D72" s="23"/>
      <c r="E72" s="6">
        <v>0</v>
      </c>
      <c r="F72" s="93">
        <v>0</v>
      </c>
      <c r="G72" s="4">
        <v>0</v>
      </c>
      <c r="H72" s="91">
        <v>0</v>
      </c>
      <c r="I72" s="4">
        <v>0</v>
      </c>
      <c r="J72" s="91">
        <v>0</v>
      </c>
      <c r="K72" s="4">
        <v>0</v>
      </c>
      <c r="L72" s="91">
        <v>0</v>
      </c>
      <c r="M72" s="4">
        <v>0</v>
      </c>
      <c r="N72" s="91">
        <v>0</v>
      </c>
      <c r="O72" s="61">
        <f t="shared" si="28"/>
        <v>0</v>
      </c>
      <c r="P72" s="99">
        <f t="shared" si="29"/>
        <v>0</v>
      </c>
    </row>
    <row r="73" spans="1:16" x14ac:dyDescent="0.2">
      <c r="A73" s="20"/>
      <c r="B73" s="23" t="s">
        <v>6</v>
      </c>
      <c r="C73" s="23"/>
      <c r="D73" s="23"/>
      <c r="E73" s="230"/>
      <c r="F73" s="230"/>
      <c r="G73" s="256"/>
      <c r="H73" s="256"/>
      <c r="I73" s="256"/>
      <c r="J73" s="256"/>
      <c r="K73" s="256"/>
      <c r="L73" s="256"/>
      <c r="M73" s="256"/>
      <c r="N73" s="256"/>
      <c r="O73" s="221"/>
      <c r="P73" s="222"/>
    </row>
    <row r="74" spans="1:16" x14ac:dyDescent="0.2">
      <c r="A74" s="20"/>
      <c r="B74" s="201" t="s">
        <v>83</v>
      </c>
      <c r="C74" s="23"/>
      <c r="D74" s="23"/>
      <c r="E74" s="4">
        <f t="shared" ref="E74:M74" si="32">ROUND(SUMIF($B31:$B46,$B$35,E31:E46)*$J$3,0)</f>
        <v>0</v>
      </c>
      <c r="F74" s="91">
        <f>ROUND(SUMIF($B31:$B46,$B$35,F31:F46)*$K$3,0)</f>
        <v>0</v>
      </c>
      <c r="G74" s="4">
        <f t="shared" si="32"/>
        <v>0</v>
      </c>
      <c r="H74" s="91">
        <f>ROUND(SUMIF($B31:$B46,$B$35,H31:H46)*$K$3,0)</f>
        <v>0</v>
      </c>
      <c r="I74" s="4">
        <f t="shared" si="32"/>
        <v>0</v>
      </c>
      <c r="J74" s="91">
        <f>ROUND(SUMIF($B31:$B46,$B$35,J31:J46)*$K$3,0)</f>
        <v>0</v>
      </c>
      <c r="K74" s="4">
        <f t="shared" si="32"/>
        <v>0</v>
      </c>
      <c r="L74" s="91">
        <f>ROUND(SUMIF($B31:$B46,$B$35,L31:L46)*$K$3,0)</f>
        <v>0</v>
      </c>
      <c r="M74" s="4">
        <f t="shared" si="32"/>
        <v>0</v>
      </c>
      <c r="N74" s="91">
        <f>ROUND(SUMIF($B31:$B46,$B$35,N31:N46)*$K$3,0)</f>
        <v>0</v>
      </c>
      <c r="O74" s="61">
        <f t="shared" ref="O74:O84" si="33">SUMIF($E$12:$N$12,$O$12,E74:N74)</f>
        <v>0</v>
      </c>
      <c r="P74" s="99">
        <f t="shared" ref="P74:P84" si="34">SUMIF($E$12:$N$12,$P$12,E74:N74)</f>
        <v>0</v>
      </c>
    </row>
    <row r="75" spans="1:16" x14ac:dyDescent="0.2">
      <c r="A75" s="20"/>
      <c r="B75" s="201" t="s">
        <v>101</v>
      </c>
      <c r="C75" s="23"/>
      <c r="D75" s="23"/>
      <c r="E75" s="119">
        <v>0</v>
      </c>
      <c r="F75" s="253">
        <v>0</v>
      </c>
      <c r="G75" s="119">
        <v>0</v>
      </c>
      <c r="H75" s="253">
        <v>0</v>
      </c>
      <c r="I75" s="119">
        <v>0</v>
      </c>
      <c r="J75" s="253">
        <v>0</v>
      </c>
      <c r="K75" s="119">
        <v>0</v>
      </c>
      <c r="L75" s="253">
        <v>0</v>
      </c>
      <c r="M75" s="119">
        <v>0</v>
      </c>
      <c r="N75" s="253">
        <v>0</v>
      </c>
      <c r="O75" s="61">
        <f t="shared" si="33"/>
        <v>0</v>
      </c>
      <c r="P75" s="99">
        <f t="shared" si="34"/>
        <v>0</v>
      </c>
    </row>
    <row r="76" spans="1:16" x14ac:dyDescent="0.2">
      <c r="A76" s="20"/>
      <c r="B76" s="201" t="s">
        <v>100</v>
      </c>
      <c r="C76" s="23"/>
      <c r="D76" s="23"/>
      <c r="E76" s="2">
        <v>0</v>
      </c>
      <c r="F76" s="86">
        <v>0</v>
      </c>
      <c r="G76" s="2">
        <f t="shared" ref="G76:N76" si="35">ROUND(E76*(1+$J$10),0)</f>
        <v>0</v>
      </c>
      <c r="H76" s="86">
        <f t="shared" si="35"/>
        <v>0</v>
      </c>
      <c r="I76" s="2">
        <f t="shared" si="35"/>
        <v>0</v>
      </c>
      <c r="J76" s="86">
        <f t="shared" si="35"/>
        <v>0</v>
      </c>
      <c r="K76" s="2">
        <f t="shared" si="35"/>
        <v>0</v>
      </c>
      <c r="L76" s="86">
        <f t="shared" si="35"/>
        <v>0</v>
      </c>
      <c r="M76" s="2">
        <f t="shared" si="35"/>
        <v>0</v>
      </c>
      <c r="N76" s="86">
        <f t="shared" si="35"/>
        <v>0</v>
      </c>
      <c r="O76" s="61">
        <f t="shared" si="33"/>
        <v>0</v>
      </c>
      <c r="P76" s="99">
        <f t="shared" si="34"/>
        <v>0</v>
      </c>
    </row>
    <row r="77" spans="1:16" x14ac:dyDescent="0.2">
      <c r="A77" s="20"/>
      <c r="B77" s="201" t="s">
        <v>112</v>
      </c>
      <c r="C77" s="23"/>
      <c r="D77" s="23"/>
      <c r="E77" s="119">
        <v>0</v>
      </c>
      <c r="F77" s="253">
        <v>0</v>
      </c>
      <c r="G77" s="119">
        <v>0</v>
      </c>
      <c r="H77" s="253">
        <v>0</v>
      </c>
      <c r="I77" s="119">
        <v>0</v>
      </c>
      <c r="J77" s="253">
        <v>0</v>
      </c>
      <c r="K77" s="119">
        <v>0</v>
      </c>
      <c r="L77" s="253">
        <v>0</v>
      </c>
      <c r="M77" s="119">
        <v>0</v>
      </c>
      <c r="N77" s="253">
        <v>0</v>
      </c>
      <c r="O77" s="61">
        <f t="shared" si="33"/>
        <v>0</v>
      </c>
      <c r="P77" s="99">
        <f t="shared" si="34"/>
        <v>0</v>
      </c>
    </row>
    <row r="78" spans="1:16" x14ac:dyDescent="0.2">
      <c r="A78" s="20"/>
      <c r="B78" s="201" t="s">
        <v>104</v>
      </c>
      <c r="C78" s="23"/>
      <c r="D78" s="23"/>
      <c r="E78" s="119">
        <v>0</v>
      </c>
      <c r="F78" s="253">
        <v>0</v>
      </c>
      <c r="G78" s="119">
        <v>0</v>
      </c>
      <c r="H78" s="253">
        <v>0</v>
      </c>
      <c r="I78" s="119">
        <v>0</v>
      </c>
      <c r="J78" s="253">
        <v>0</v>
      </c>
      <c r="K78" s="119">
        <v>0</v>
      </c>
      <c r="L78" s="253">
        <v>0</v>
      </c>
      <c r="M78" s="119">
        <v>0</v>
      </c>
      <c r="N78" s="253">
        <v>0</v>
      </c>
      <c r="O78" s="61">
        <f t="shared" si="33"/>
        <v>0</v>
      </c>
      <c r="P78" s="99">
        <f t="shared" si="34"/>
        <v>0</v>
      </c>
    </row>
    <row r="79" spans="1:16" x14ac:dyDescent="0.2">
      <c r="A79" s="20"/>
      <c r="B79" s="209" t="s">
        <v>106</v>
      </c>
      <c r="C79" s="23"/>
      <c r="D79" s="23"/>
      <c r="E79" s="119">
        <v>0</v>
      </c>
      <c r="F79" s="253">
        <v>0</v>
      </c>
      <c r="G79" s="119">
        <v>0</v>
      </c>
      <c r="H79" s="253">
        <v>0</v>
      </c>
      <c r="I79" s="119">
        <v>0</v>
      </c>
      <c r="J79" s="253">
        <v>0</v>
      </c>
      <c r="K79" s="119">
        <v>0</v>
      </c>
      <c r="L79" s="253">
        <v>0</v>
      </c>
      <c r="M79" s="119">
        <v>0</v>
      </c>
      <c r="N79" s="253">
        <v>0</v>
      </c>
      <c r="O79" s="61">
        <f t="shared" si="33"/>
        <v>0</v>
      </c>
      <c r="P79" s="99">
        <f t="shared" si="34"/>
        <v>0</v>
      </c>
    </row>
    <row r="80" spans="1:16" x14ac:dyDescent="0.2">
      <c r="A80" s="20"/>
      <c r="B80" s="201" t="s">
        <v>98</v>
      </c>
      <c r="C80" s="23"/>
      <c r="D80" s="23"/>
      <c r="E80" s="119">
        <v>0</v>
      </c>
      <c r="F80" s="253">
        <v>0</v>
      </c>
      <c r="G80" s="119">
        <v>0</v>
      </c>
      <c r="H80" s="253">
        <v>0</v>
      </c>
      <c r="I80" s="119">
        <v>0</v>
      </c>
      <c r="J80" s="253">
        <v>0</v>
      </c>
      <c r="K80" s="119">
        <v>0</v>
      </c>
      <c r="L80" s="253">
        <v>0</v>
      </c>
      <c r="M80" s="119">
        <v>0</v>
      </c>
      <c r="N80" s="253">
        <v>0</v>
      </c>
      <c r="O80" s="61">
        <f t="shared" si="33"/>
        <v>0</v>
      </c>
      <c r="P80" s="99">
        <f t="shared" si="34"/>
        <v>0</v>
      </c>
    </row>
    <row r="81" spans="1:16" x14ac:dyDescent="0.2">
      <c r="A81" s="20"/>
      <c r="B81" s="201" t="s">
        <v>105</v>
      </c>
      <c r="C81" s="23"/>
      <c r="D81" s="23"/>
      <c r="E81" s="4">
        <v>0</v>
      </c>
      <c r="F81" s="91">
        <v>0</v>
      </c>
      <c r="G81" s="4">
        <v>0</v>
      </c>
      <c r="H81" s="91">
        <v>0</v>
      </c>
      <c r="I81" s="4">
        <v>0</v>
      </c>
      <c r="J81" s="91">
        <v>0</v>
      </c>
      <c r="K81" s="4">
        <v>0</v>
      </c>
      <c r="L81" s="91">
        <v>0</v>
      </c>
      <c r="M81" s="4">
        <v>0</v>
      </c>
      <c r="N81" s="91">
        <v>0</v>
      </c>
      <c r="O81" s="61">
        <f t="shared" si="33"/>
        <v>0</v>
      </c>
      <c r="P81" s="99">
        <f t="shared" si="34"/>
        <v>0</v>
      </c>
    </row>
    <row r="82" spans="1:16" x14ac:dyDescent="0.2">
      <c r="A82" s="20"/>
      <c r="B82" s="201" t="s">
        <v>99</v>
      </c>
      <c r="C82" s="23"/>
      <c r="D82" s="23"/>
      <c r="E82" s="119">
        <v>0</v>
      </c>
      <c r="F82" s="253">
        <v>0</v>
      </c>
      <c r="G82" s="119">
        <v>0</v>
      </c>
      <c r="H82" s="253">
        <v>0</v>
      </c>
      <c r="I82" s="119">
        <v>0</v>
      </c>
      <c r="J82" s="253">
        <v>0</v>
      </c>
      <c r="K82" s="119">
        <v>0</v>
      </c>
      <c r="L82" s="253">
        <v>0</v>
      </c>
      <c r="M82" s="119">
        <v>0</v>
      </c>
      <c r="N82" s="253">
        <v>0</v>
      </c>
      <c r="O82" s="61">
        <f t="shared" si="33"/>
        <v>0</v>
      </c>
      <c r="P82" s="99">
        <f t="shared" si="34"/>
        <v>0</v>
      </c>
    </row>
    <row r="83" spans="1:16" x14ac:dyDescent="0.2">
      <c r="A83" s="20"/>
      <c r="B83" s="201" t="s">
        <v>84</v>
      </c>
      <c r="C83" s="23"/>
      <c r="D83" s="23"/>
      <c r="E83" s="119">
        <v>0</v>
      </c>
      <c r="F83" s="253">
        <v>0</v>
      </c>
      <c r="G83" s="119">
        <v>0</v>
      </c>
      <c r="H83" s="253">
        <v>0</v>
      </c>
      <c r="I83" s="119">
        <v>0</v>
      </c>
      <c r="J83" s="253">
        <v>0</v>
      </c>
      <c r="K83" s="119">
        <v>0</v>
      </c>
      <c r="L83" s="253">
        <v>0</v>
      </c>
      <c r="M83" s="119">
        <v>0</v>
      </c>
      <c r="N83" s="253">
        <v>0</v>
      </c>
      <c r="O83" s="61">
        <f t="shared" si="33"/>
        <v>0</v>
      </c>
      <c r="P83" s="99">
        <f t="shared" si="34"/>
        <v>0</v>
      </c>
    </row>
    <row r="84" spans="1:16" x14ac:dyDescent="0.2">
      <c r="A84" s="20"/>
      <c r="B84" s="203" t="s">
        <v>61</v>
      </c>
      <c r="C84" s="38"/>
      <c r="D84" s="38"/>
      <c r="E84" s="215">
        <v>0</v>
      </c>
      <c r="F84" s="254">
        <v>0</v>
      </c>
      <c r="G84" s="215">
        <f t="shared" ref="G84:N84" si="36">ROUND(E84*(1+$J$10),0)</f>
        <v>0</v>
      </c>
      <c r="H84" s="254">
        <f t="shared" si="36"/>
        <v>0</v>
      </c>
      <c r="I84" s="215">
        <f t="shared" si="36"/>
        <v>0</v>
      </c>
      <c r="J84" s="254">
        <f t="shared" si="36"/>
        <v>0</v>
      </c>
      <c r="K84" s="215">
        <f t="shared" si="36"/>
        <v>0</v>
      </c>
      <c r="L84" s="254">
        <f t="shared" si="36"/>
        <v>0</v>
      </c>
      <c r="M84" s="215">
        <f t="shared" si="36"/>
        <v>0</v>
      </c>
      <c r="N84" s="254">
        <f t="shared" si="36"/>
        <v>0</v>
      </c>
      <c r="O84" s="62">
        <f t="shared" si="33"/>
        <v>0</v>
      </c>
      <c r="P84" s="100">
        <f t="shared" si="34"/>
        <v>0</v>
      </c>
    </row>
    <row r="85" spans="1:16" x14ac:dyDescent="0.2">
      <c r="A85" s="20"/>
      <c r="B85" s="246" t="s">
        <v>111</v>
      </c>
      <c r="C85" s="23"/>
      <c r="D85" s="23"/>
      <c r="E85" s="241">
        <f t="shared" ref="E85:N85" si="37">SUM(E74:E84)</f>
        <v>0</v>
      </c>
      <c r="F85" s="255">
        <f t="shared" si="37"/>
        <v>0</v>
      </c>
      <c r="G85" s="241">
        <f t="shared" si="37"/>
        <v>0</v>
      </c>
      <c r="H85" s="255">
        <f t="shared" si="37"/>
        <v>0</v>
      </c>
      <c r="I85" s="241">
        <f t="shared" si="37"/>
        <v>0</v>
      </c>
      <c r="J85" s="255">
        <f t="shared" si="37"/>
        <v>0</v>
      </c>
      <c r="K85" s="241">
        <f t="shared" si="37"/>
        <v>0</v>
      </c>
      <c r="L85" s="255">
        <f t="shared" si="37"/>
        <v>0</v>
      </c>
      <c r="M85" s="241">
        <f t="shared" si="37"/>
        <v>0</v>
      </c>
      <c r="N85" s="255">
        <f t="shared" si="37"/>
        <v>0</v>
      </c>
      <c r="O85" s="64">
        <f>SUMIF($E$12:$N$12,$O$12,E85:N85)</f>
        <v>0</v>
      </c>
      <c r="P85" s="101">
        <f>SUMIF($E$12:$N$12,$P$12,E85:N85)</f>
        <v>0</v>
      </c>
    </row>
    <row r="86" spans="1:16" x14ac:dyDescent="0.2">
      <c r="A86" s="20"/>
      <c r="B86" s="33" t="s">
        <v>13</v>
      </c>
      <c r="C86" s="26"/>
      <c r="D86" s="23"/>
      <c r="E86" s="40">
        <f t="shared" ref="E86:N86" si="38">SUM(E64:E84)</f>
        <v>0</v>
      </c>
      <c r="F86" s="94">
        <f t="shared" si="38"/>
        <v>0</v>
      </c>
      <c r="G86" s="40">
        <f t="shared" si="38"/>
        <v>0</v>
      </c>
      <c r="H86" s="94">
        <f t="shared" si="38"/>
        <v>0</v>
      </c>
      <c r="I86" s="40">
        <f t="shared" si="38"/>
        <v>0</v>
      </c>
      <c r="J86" s="94">
        <f t="shared" si="38"/>
        <v>0</v>
      </c>
      <c r="K86" s="40">
        <f t="shared" si="38"/>
        <v>0</v>
      </c>
      <c r="L86" s="94">
        <f t="shared" si="38"/>
        <v>0</v>
      </c>
      <c r="M86" s="40">
        <f t="shared" si="38"/>
        <v>0</v>
      </c>
      <c r="N86" s="94">
        <f t="shared" si="38"/>
        <v>0</v>
      </c>
      <c r="O86" s="64">
        <f>SUMIF($E$12:$N$12,$O$12,E86:N86)</f>
        <v>0</v>
      </c>
      <c r="P86" s="101">
        <f>SUMIF($E$12:$N$12,$P$12,E86:N86)</f>
        <v>0</v>
      </c>
    </row>
    <row r="87" spans="1:16" ht="4.5" customHeight="1" x14ac:dyDescent="0.2">
      <c r="A87" s="20"/>
      <c r="C87" s="23"/>
      <c r="D87" s="23"/>
      <c r="E87" s="25"/>
      <c r="F87" s="25"/>
      <c r="G87" s="25"/>
      <c r="H87" s="25"/>
      <c r="I87" s="25"/>
      <c r="J87" s="25"/>
      <c r="K87" s="25"/>
      <c r="L87" s="25"/>
      <c r="M87" s="25"/>
      <c r="N87" s="25"/>
      <c r="O87" s="221"/>
      <c r="P87" s="222"/>
    </row>
    <row r="88" spans="1:16" x14ac:dyDescent="0.2">
      <c r="A88" s="20" t="s">
        <v>7</v>
      </c>
      <c r="B88" s="33" t="s">
        <v>8</v>
      </c>
      <c r="D88" s="26"/>
      <c r="E88" s="41">
        <f t="shared" ref="E88:N88" si="39">E54+E56+E58+E59+E61+E86</f>
        <v>0</v>
      </c>
      <c r="F88" s="95">
        <f t="shared" si="39"/>
        <v>0</v>
      </c>
      <c r="G88" s="41">
        <f t="shared" si="39"/>
        <v>0</v>
      </c>
      <c r="H88" s="95">
        <f t="shared" si="39"/>
        <v>0</v>
      </c>
      <c r="I88" s="41">
        <f t="shared" si="39"/>
        <v>0</v>
      </c>
      <c r="J88" s="95">
        <f t="shared" si="39"/>
        <v>0</v>
      </c>
      <c r="K88" s="41">
        <f t="shared" si="39"/>
        <v>0</v>
      </c>
      <c r="L88" s="95">
        <f t="shared" si="39"/>
        <v>0</v>
      </c>
      <c r="M88" s="41">
        <f t="shared" si="39"/>
        <v>0</v>
      </c>
      <c r="N88" s="95">
        <f t="shared" si="39"/>
        <v>0</v>
      </c>
      <c r="O88" s="64">
        <f>SUMIF($E$12:$N$12,$O$12,E88:N88)</f>
        <v>0</v>
      </c>
      <c r="P88" s="101">
        <f>SUMIF($E$12:$N$12,$P$12,E88:N88)</f>
        <v>0</v>
      </c>
    </row>
    <row r="89" spans="1:16" x14ac:dyDescent="0.2">
      <c r="A89" s="20"/>
      <c r="B89" s="43" t="str">
        <f>IF(C3="","",IF(C3=AE4,"MTDC:","TDC:"))</f>
        <v>MTDC:</v>
      </c>
      <c r="C89" s="42" t="s">
        <v>34</v>
      </c>
      <c r="D89" s="42"/>
      <c r="E89" s="44">
        <f t="shared" ref="E89:N89" si="40">IF($C$3="",0,IF($C$3=$AE$4,E88-E56-E61-E81-SUMIF($B$64:$B$84,$B$70,E64:E84)-E74-E68,E88-E74))</f>
        <v>0</v>
      </c>
      <c r="F89" s="96">
        <f t="shared" si="40"/>
        <v>0</v>
      </c>
      <c r="G89" s="44">
        <f t="shared" si="40"/>
        <v>0</v>
      </c>
      <c r="H89" s="96">
        <f t="shared" si="40"/>
        <v>0</v>
      </c>
      <c r="I89" s="44">
        <f t="shared" si="40"/>
        <v>0</v>
      </c>
      <c r="J89" s="96">
        <f t="shared" si="40"/>
        <v>0</v>
      </c>
      <c r="K89" s="44">
        <f t="shared" si="40"/>
        <v>0</v>
      </c>
      <c r="L89" s="96">
        <f t="shared" si="40"/>
        <v>0</v>
      </c>
      <c r="M89" s="44">
        <f t="shared" si="40"/>
        <v>0</v>
      </c>
      <c r="N89" s="96">
        <f t="shared" si="40"/>
        <v>0</v>
      </c>
      <c r="O89" s="65">
        <f>SUMIF($E$12:$N$12,$O$12,E89:N89)</f>
        <v>0</v>
      </c>
      <c r="P89" s="102">
        <f>SUMIF($E$12:$N$12,$P$12,E89:N89)</f>
        <v>0</v>
      </c>
    </row>
    <row r="90" spans="1:16" ht="4.5" customHeight="1" x14ac:dyDescent="0.2">
      <c r="A90" s="20"/>
      <c r="C90" s="42"/>
      <c r="D90" s="42"/>
      <c r="E90" s="231"/>
      <c r="F90" s="231"/>
      <c r="G90" s="231"/>
      <c r="H90" s="231"/>
      <c r="I90" s="231"/>
      <c r="J90" s="231"/>
      <c r="K90" s="231"/>
      <c r="L90" s="231"/>
      <c r="M90" s="231"/>
      <c r="N90" s="231"/>
      <c r="O90" s="232"/>
      <c r="P90" s="233"/>
    </row>
    <row r="91" spans="1:16" x14ac:dyDescent="0.2">
      <c r="A91" s="20" t="s">
        <v>89</v>
      </c>
      <c r="B91" s="33" t="s">
        <v>31</v>
      </c>
      <c r="D91" s="26"/>
      <c r="E91" s="41" t="str">
        <f>IF($C$4="TBD","TBD",ROUND($C$4*E89,0))</f>
        <v>TBD</v>
      </c>
      <c r="F91" s="95" t="str">
        <f>IF($C$4="TBD","TBD",IF($C$4=$J$2,ROUND($K$2*F89,0),ROUND($C$4*F89,0)))</f>
        <v>TBD</v>
      </c>
      <c r="G91" s="41" t="str">
        <f>IF($C$4="TBD","TBD",ROUND($C$4*G89,0))</f>
        <v>TBD</v>
      </c>
      <c r="H91" s="95" t="str">
        <f>IF($C$4="TBD","TBD",IF($C$4=$J$2,ROUND($K$2*H89,0),ROUND($C$4*H89,0)))</f>
        <v>TBD</v>
      </c>
      <c r="I91" s="41" t="str">
        <f>IF($C$4="TBD","TBD",ROUND($C$4*I89,0))</f>
        <v>TBD</v>
      </c>
      <c r="J91" s="95" t="str">
        <f>IF($C$4="TBD","TBD",IF($C$4=$J$2,ROUND($K$2*J89,0),ROUND($C$4*J89,0)))</f>
        <v>TBD</v>
      </c>
      <c r="K91" s="41" t="str">
        <f>IF($C$4="TBD","TBD",ROUND($C$4*K89,0))</f>
        <v>TBD</v>
      </c>
      <c r="L91" s="95" t="str">
        <f>IF($C$4="TBD","TBD",IF($C$4=$J$2,ROUND($K$2*L89,0),ROUND($C$4*L89,0)))</f>
        <v>TBD</v>
      </c>
      <c r="M91" s="41" t="str">
        <f>IF($C$4="TBD","TBD",ROUND($C$4*M89,0))</f>
        <v>TBD</v>
      </c>
      <c r="N91" s="95" t="str">
        <f>IF($C$4="TBD","TBD",IF($C$4=$J$2,ROUND($K$2*N89,0),ROUND($C$4*N89,0)))</f>
        <v>TBD</v>
      </c>
      <c r="O91" s="64">
        <f>SUMIF($E$12:$N$12,$O$12,E91:N91)</f>
        <v>0</v>
      </c>
      <c r="P91" s="101">
        <f>SUMIF($E$12:$N$12,$P$12,E91:N91)</f>
        <v>0</v>
      </c>
    </row>
    <row r="92" spans="1:16" ht="4.5" customHeight="1" x14ac:dyDescent="0.2">
      <c r="A92" s="20"/>
      <c r="C92" s="23"/>
      <c r="D92" s="23"/>
      <c r="E92" s="25"/>
      <c r="F92" s="25"/>
      <c r="G92" s="25"/>
      <c r="H92" s="25"/>
      <c r="I92" s="25"/>
      <c r="J92" s="25"/>
      <c r="K92" s="25"/>
      <c r="L92" s="25"/>
      <c r="M92" s="25"/>
      <c r="N92" s="25"/>
      <c r="O92" s="221"/>
      <c r="P92" s="222"/>
    </row>
    <row r="93" spans="1:16" ht="13.5" thickBot="1" x14ac:dyDescent="0.25">
      <c r="A93" s="46" t="s">
        <v>90</v>
      </c>
      <c r="B93" s="47" t="s">
        <v>32</v>
      </c>
      <c r="C93" s="48"/>
      <c r="D93" s="48"/>
      <c r="E93" s="49" t="str">
        <f t="shared" ref="E93:N93" si="41">IF(E91="TBD","TBD",E91+E88)</f>
        <v>TBD</v>
      </c>
      <c r="F93" s="97" t="str">
        <f t="shared" si="41"/>
        <v>TBD</v>
      </c>
      <c r="G93" s="49" t="str">
        <f t="shared" si="41"/>
        <v>TBD</v>
      </c>
      <c r="H93" s="97" t="str">
        <f t="shared" si="41"/>
        <v>TBD</v>
      </c>
      <c r="I93" s="49" t="str">
        <f t="shared" si="41"/>
        <v>TBD</v>
      </c>
      <c r="J93" s="97" t="str">
        <f t="shared" si="41"/>
        <v>TBD</v>
      </c>
      <c r="K93" s="49" t="str">
        <f t="shared" si="41"/>
        <v>TBD</v>
      </c>
      <c r="L93" s="97" t="str">
        <f t="shared" si="41"/>
        <v>TBD</v>
      </c>
      <c r="M93" s="49" t="str">
        <f t="shared" si="41"/>
        <v>TBD</v>
      </c>
      <c r="N93" s="97" t="str">
        <f t="shared" si="41"/>
        <v>TBD</v>
      </c>
      <c r="O93" s="136">
        <f>SUMIF($E$12:$N$12,$O$12,E93:N93)</f>
        <v>0</v>
      </c>
      <c r="P93" s="137">
        <f>SUMIF($E$12:$N$12,$P$12,E93:N93)</f>
        <v>0</v>
      </c>
    </row>
    <row r="94" spans="1:16" ht="12.75" customHeight="1" thickBot="1" x14ac:dyDescent="0.25">
      <c r="A94" s="236"/>
      <c r="B94" s="237" t="s">
        <v>80</v>
      </c>
      <c r="C94" s="238"/>
      <c r="D94" s="238"/>
      <c r="E94" s="803" t="str">
        <f>IF(OR(E91="TBD",F91="TBD"),"TBD",ROUND(E93+F93,0))</f>
        <v>TBD</v>
      </c>
      <c r="F94" s="804"/>
      <c r="G94" s="803" t="str">
        <f>IF(OR(G91="TBD",H91="TBD"),"TBD",ROUND(G93+H93,0))</f>
        <v>TBD</v>
      </c>
      <c r="H94" s="804"/>
      <c r="I94" s="803" t="str">
        <f>IF(OR(I91="TBD",J91="TBD"),"TBD",ROUND(I93+J93,0))</f>
        <v>TBD</v>
      </c>
      <c r="J94" s="804"/>
      <c r="K94" s="803" t="str">
        <f>IF(OR(K91="TBD",L91="TBD"),"TBD",ROUND(K93+L93,0))</f>
        <v>TBD</v>
      </c>
      <c r="L94" s="804"/>
      <c r="M94" s="803" t="str">
        <f>IF(OR(M91="TBD",N91="TBD"),"TBD",ROUND(M93+N93,0))</f>
        <v>TBD</v>
      </c>
      <c r="N94" s="804"/>
      <c r="O94" s="803">
        <f>ROUND(O93+P93,0)</f>
        <v>0</v>
      </c>
      <c r="P94" s="804"/>
    </row>
    <row r="95" spans="1:16" ht="4.5" customHeight="1" thickBot="1" x14ac:dyDescent="0.25">
      <c r="A95"/>
      <c r="B95" s="35"/>
      <c r="C95"/>
      <c r="D95"/>
      <c r="E95" s="264"/>
      <c r="F95" s="264"/>
      <c r="G95" s="264"/>
      <c r="H95" s="264"/>
      <c r="I95" s="264"/>
      <c r="J95" s="264"/>
      <c r="K95" s="264"/>
      <c r="L95" s="264"/>
      <c r="M95" s="264"/>
      <c r="N95" s="264"/>
      <c r="O95" s="264"/>
      <c r="P95" s="264"/>
    </row>
    <row r="96" spans="1:16" ht="12.75" customHeight="1" x14ac:dyDescent="0.2">
      <c r="A96" s="745" t="s">
        <v>55</v>
      </c>
      <c r="B96" s="51" t="s">
        <v>33</v>
      </c>
      <c r="C96" s="52"/>
      <c r="D96" s="51"/>
      <c r="E96" s="53">
        <f>IF(E93="TBD",0,E91/E88)</f>
        <v>0</v>
      </c>
      <c r="F96" s="53"/>
      <c r="G96" s="53">
        <f>IF(G93="TBD",0,G91/G88)</f>
        <v>0</v>
      </c>
      <c r="H96" s="53"/>
      <c r="I96" s="53">
        <f>IF(I93="TBD",0,I91/I88)</f>
        <v>0</v>
      </c>
      <c r="J96" s="53"/>
      <c r="K96" s="53">
        <f>IF(K93="TBD",0,K91/K88)</f>
        <v>0</v>
      </c>
      <c r="L96" s="53"/>
      <c r="M96" s="53">
        <f>IF(M93="TBD",0,M91/M88)</f>
        <v>0</v>
      </c>
      <c r="N96" s="53"/>
      <c r="O96" s="60">
        <f>IF(O93=0,0,O91/O88)</f>
        <v>0</v>
      </c>
      <c r="P96" s="58"/>
    </row>
    <row r="97" spans="1:16" ht="13.5" thickBot="1" x14ac:dyDescent="0.25">
      <c r="A97" s="774"/>
      <c r="B97" s="54" t="s">
        <v>40</v>
      </c>
      <c r="C97" s="55"/>
      <c r="D97" s="54"/>
      <c r="E97" s="139">
        <f>IF($C$4=$J$2,0,ROUND($J$2*(E88-E56-E61-E68-SUMIF($B$64:$B$84,$B$70,E64:E84)-E74),0)-E91)</f>
        <v>0</v>
      </c>
      <c r="F97" s="139">
        <f t="shared" ref="F97:N97" si="42">IF($C$4=$J$2,0,ROUND($J$2*(F88-F56-F61-F68-SUMIF($B$64:$B$84,$B$70,F64:F84)-F74),0)-F91)</f>
        <v>0</v>
      </c>
      <c r="G97" s="139">
        <f t="shared" si="42"/>
        <v>0</v>
      </c>
      <c r="H97" s="139">
        <f t="shared" si="42"/>
        <v>0</v>
      </c>
      <c r="I97" s="139">
        <f t="shared" si="42"/>
        <v>0</v>
      </c>
      <c r="J97" s="139">
        <f t="shared" si="42"/>
        <v>0</v>
      </c>
      <c r="K97" s="139">
        <f t="shared" si="42"/>
        <v>0</v>
      </c>
      <c r="L97" s="139">
        <f t="shared" si="42"/>
        <v>0</v>
      </c>
      <c r="M97" s="139">
        <f t="shared" si="42"/>
        <v>0</v>
      </c>
      <c r="N97" s="139">
        <f t="shared" si="42"/>
        <v>0</v>
      </c>
      <c r="O97" s="140">
        <f>IF($C$4=$J$2,0,ROUND($J$2*(O88-O56-O61-O68-SUMIF($B$64:$B$84,$B$70,O64:O84)-O74),0)-O91)</f>
        <v>0</v>
      </c>
      <c r="P97" s="138">
        <f>IF($C$4=$J$2,0,ROUND($J$2*(P88-P56-P61-P68-SUMIF($B$64:$B$84,$B$70,P64:P84)-P74),0)-P91)</f>
        <v>0</v>
      </c>
    </row>
    <row r="98" spans="1:16" x14ac:dyDescent="0.2">
      <c r="F98" s="10"/>
      <c r="G98" s="10"/>
      <c r="H98" s="10"/>
      <c r="I98" s="10"/>
    </row>
    <row r="99" spans="1:16" x14ac:dyDescent="0.2">
      <c r="F99" s="10"/>
      <c r="G99" s="10"/>
      <c r="H99" s="10"/>
      <c r="I99" s="10"/>
    </row>
    <row r="160" ht="13.5" thickBot="1" x14ac:dyDescent="0.25"/>
    <row r="161" spans="26:32" x14ac:dyDescent="0.2">
      <c r="Z161" s="807"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c r="AA161" s="808"/>
      <c r="AB161" s="808"/>
      <c r="AC161" s="808"/>
      <c r="AD161" s="808"/>
      <c r="AE161" s="808"/>
      <c r="AF161" s="809"/>
    </row>
    <row r="162" spans="26:32" x14ac:dyDescent="0.2">
      <c r="Z162" s="810"/>
      <c r="AA162" s="811"/>
      <c r="AB162" s="811"/>
      <c r="AC162" s="811"/>
      <c r="AD162" s="811"/>
      <c r="AE162" s="811"/>
      <c r="AF162" s="812"/>
    </row>
    <row r="163" spans="26:32" x14ac:dyDescent="0.2">
      <c r="Z163" s="810"/>
      <c r="AA163" s="811"/>
      <c r="AB163" s="811"/>
      <c r="AC163" s="811"/>
      <c r="AD163" s="811"/>
      <c r="AE163" s="811"/>
      <c r="AF163" s="812"/>
    </row>
    <row r="164" spans="26:32" x14ac:dyDescent="0.2">
      <c r="Z164" s="810"/>
      <c r="AA164" s="811"/>
      <c r="AB164" s="811"/>
      <c r="AC164" s="811"/>
      <c r="AD164" s="811"/>
      <c r="AE164" s="811"/>
      <c r="AF164" s="812"/>
    </row>
    <row r="165" spans="26:32" x14ac:dyDescent="0.2">
      <c r="Z165" s="810"/>
      <c r="AA165" s="811"/>
      <c r="AB165" s="811"/>
      <c r="AC165" s="811"/>
      <c r="AD165" s="811"/>
      <c r="AE165" s="811"/>
      <c r="AF165" s="812"/>
    </row>
    <row r="166" spans="26:32" x14ac:dyDescent="0.2">
      <c r="Z166" s="810"/>
      <c r="AA166" s="811"/>
      <c r="AB166" s="811"/>
      <c r="AC166" s="811"/>
      <c r="AD166" s="811"/>
      <c r="AE166" s="811"/>
      <c r="AF166" s="812"/>
    </row>
    <row r="167" spans="26:32" x14ac:dyDescent="0.2">
      <c r="Z167" s="810"/>
      <c r="AA167" s="811"/>
      <c r="AB167" s="811"/>
      <c r="AC167" s="811"/>
      <c r="AD167" s="811"/>
      <c r="AE167" s="811"/>
      <c r="AF167" s="812"/>
    </row>
    <row r="168" spans="26:32" x14ac:dyDescent="0.2">
      <c r="Z168" s="810"/>
      <c r="AA168" s="811"/>
      <c r="AB168" s="811"/>
      <c r="AC168" s="811"/>
      <c r="AD168" s="811"/>
      <c r="AE168" s="811"/>
      <c r="AF168" s="812"/>
    </row>
    <row r="169" spans="26:32" ht="13.5" thickBot="1" x14ac:dyDescent="0.25">
      <c r="Z169" s="813"/>
      <c r="AA169" s="814"/>
      <c r="AB169" s="814"/>
      <c r="AC169" s="814"/>
      <c r="AD169" s="814"/>
      <c r="AE169" s="814"/>
      <c r="AF169" s="815"/>
    </row>
  </sheetData>
  <scenarios current="5" show="1" sqref="D54">
    <scenario name="On-camp instr" locked="1" count="2" user="Grants and Contracts" comment="Created by Grants and Contracts on 6/13/96_x000a_Modified by Grants and Contracts on 6/13/96">
      <inputCells r="J2" val="0.519" numFmtId="165"/>
      <inputCells r="J3" val="0.5" numFmtId="165"/>
    </scenario>
    <scenario name="On-camp res" locked="1" count="2" user="Grants and Contracts" comment="Created by Grants and Contracts on 6/13/96_x000a_Modified by Grants and Contracts on 6/13/96">
      <inputCells r="J2" val="0.555" numFmtId="165"/>
      <inputCells r="J3" val="0.345" numFmtId="165"/>
    </scenario>
    <scenario name="On-camp - other" locked="1" count="2" user="Grants and Contracts" comment="Created by Grants and Contracts on 6/13/96_x000a_Modified by Grants and Contracts on 6/13/96">
      <inputCells r="J2" val="0.237" numFmtId="165"/>
      <inputCells r="J3" val="0.513" numFmtId="165"/>
    </scenario>
    <scenario name="Off-camp instr" locked="1" count="2" user="Grants and Contracts" comment="Created by Grants and Contracts on 6/13/96">
      <inputCells r="J2" val="0.24" numFmtId="165"/>
      <inputCells r="J3" val="0.5" numFmtId="165"/>
    </scenario>
    <scenario name="Off-camp research" locked="1" count="2" user="Grants and Contracts" comment="Created by Grants and Contracts on 6/13/96">
      <inputCells r="J2" val="0.24" numFmtId="165"/>
      <inputCells r="J3" val="0.345" numFmtId="165"/>
    </scenario>
    <scenario name="Off-camp - other" locked="1" count="2" user="Grants and Contracts" comment="Created by Grants and Contracts on 6/13/96">
      <inputCells r="J2" val="0.187" numFmtId="165"/>
      <inputCells r="J3" val="0.513" numFmtId="165"/>
    </scenario>
  </scenarios>
  <mergeCells count="21">
    <mergeCell ref="G94:H94"/>
    <mergeCell ref="I94:J94"/>
    <mergeCell ref="K94:L94"/>
    <mergeCell ref="M11:N11"/>
    <mergeCell ref="O11:P11"/>
    <mergeCell ref="Q1:T10"/>
    <mergeCell ref="Z161:AF169"/>
    <mergeCell ref="E11:F11"/>
    <mergeCell ref="C1:E1"/>
    <mergeCell ref="C2:E2"/>
    <mergeCell ref="C3:E3"/>
    <mergeCell ref="C4:E4"/>
    <mergeCell ref="A5:E10"/>
    <mergeCell ref="Q11:T16"/>
    <mergeCell ref="M94:N94"/>
    <mergeCell ref="A96:A97"/>
    <mergeCell ref="O94:P94"/>
    <mergeCell ref="E94:F94"/>
    <mergeCell ref="G11:H11"/>
    <mergeCell ref="I11:J11"/>
    <mergeCell ref="K11:L11"/>
  </mergeCells>
  <dataValidations xWindow="200" yWindow="335" count="25">
    <dataValidation type="list" allowBlank="1" showInputMessage="1" showErrorMessage="1" promptTitle="Project Location" prompt="Select the Project Location." sqref="C2:E2" xr:uid="{00000000-0002-0000-0600-000000000000}">
      <formula1>$AB$3:$AC$3</formula1>
    </dataValidation>
    <dataValidation allowBlank="1" showInputMessage="1" showErrorMessage="1" promptTitle="Applicable F&amp;A Rate" prompt="This field will dislpayed after inputting Activity Type and Location" sqref="J2" xr:uid="{00000000-0002-0000-0600-000001000000}"/>
    <dataValidation allowBlank="1" showInputMessage="1" showErrorMessage="1" promptTitle="Note" prompt="MTDC or TDC will display based on the value selected in cell I3." sqref="B89" xr:uid="{00000000-0002-0000-0600-000002000000}"/>
    <dataValidation allowBlank="1" showInputMessage="1" showErrorMessage="1" promptTitle="Applied F&amp;A Rate" prompt="If appplicable, then override the Applicable F&amp;A Rate with the F&amp;A Rate to be applied to this project." sqref="C4:E4" xr:uid="{00000000-0002-0000-0600-000004000000}"/>
    <dataValidation allowBlank="1" showInputMessage="1" showErrorMessage="1" promptTitle="Notes" prompt="Add notes as necessary." sqref="A5:E10" xr:uid="{00000000-0002-0000-0600-000005000000}"/>
    <dataValidation type="list" allowBlank="1" showInputMessage="1" showErrorMessage="1" promptTitle="F&amp;A Cost Basis" prompt="Select the basis for the F&amp;A costs._x000a_- Full Negotiated Rate = MTDC_x000a_- Reduced Federal or State = MTDC_x000a_- Reduced Rate = TDC (including (0% or 10%)_x000a_- Industry Sponsored Clinical Trial = 26% TDC_x000a_- Non-Standard Costs Assessed F&amp;A Rate = 'Other&quot;" sqref="C3:E3" xr:uid="{00000000-0002-0000-0600-000007000000}">
      <formula1>$AE$4:$AE$6</formula1>
    </dataValidation>
    <dataValidation allowBlank="1" showInputMessage="1" showErrorMessage="1" promptTitle="Additional Justification" prompt="Additional Justification is required." sqref="B43" xr:uid="{00000000-0002-0000-0600-000008000000}"/>
    <dataValidation allowBlank="1" showInputMessage="1" showErrorMessage="1" promptTitle="2 CFR 200.430" prompt="Compensation-personal services" sqref="B13 B30" xr:uid="{00000000-0002-0000-0600-000009000000}"/>
    <dataValidation allowBlank="1" showInputMessage="1" showErrorMessage="1" promptTitle="2 CFR 200.431" prompt="Compensation-fringe benefits" sqref="B53" xr:uid="{00000000-0002-0000-0600-00000A000000}"/>
    <dataValidation allowBlank="1" showInputMessage="1" showErrorMessage="1" promptTitle="2 CFR 200.33" prompt="Tangible personal property having a useful life of more than one year and a per-unit acquisition cost which equals or exceeds $5,000." sqref="B56" xr:uid="{00000000-0002-0000-0600-00000B000000}"/>
    <dataValidation allowBlank="1" showInputMessage="1" showErrorMessage="1" promptTitle="OBFS 15" prompt="Travel Reimbursement and Per Diem: https://www.obfs.uillinois.edu/bfpp/section-15-travel/travel-reimbursement-and-per-diem" sqref="B58:B59" xr:uid="{00000000-0002-0000-0600-00000C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1" xr:uid="{00000000-0002-0000-0600-00000D000000}"/>
    <dataValidation allowBlank="1" showInputMessage="1" showErrorMessage="1" promptTitle="2 CFR 200.314" prompt="Supplies" sqref="B64" xr:uid="{00000000-0002-0000-0600-00000E000000}"/>
    <dataValidation allowBlank="1" showInputMessage="1" showErrorMessage="1" promptTitle="2 CFR 200.459" prompt="Professional Service Costs" sqref="B66" xr:uid="{00000000-0002-0000-0600-00000F000000}"/>
    <dataValidation allowBlank="1" showInputMessage="1" showErrorMessage="1" promptTitle="Internal Program Rate" prompt="May be deemed as prohibited voluntary cost share by NSF." sqref="B68" xr:uid="{4C681561-C892-4E76-A0E2-99DED6A49B8A}"/>
    <dataValidation allowBlank="1" showInputMessage="1" showErrorMessage="1" promptTitle="2 CFR 200.330" prompt="Criteria for subrecipient versus contractor determination" sqref="B70 B72" xr:uid="{00000000-0002-0000-0600-000011000000}"/>
    <dataValidation allowBlank="1" showInputMessage="1" showErrorMessage="1" promptTitle="2 CFR 200.92" prompt="Subaward" sqref="B71 B69" xr:uid="{00000000-0002-0000-0600-000012000000}"/>
    <dataValidation allowBlank="1" showInputMessage="1" showErrorMessage="1" promptTitle="2 CFR 200.461" prompt="Publication and printing costs" sqref="B65" xr:uid="{00000000-0002-0000-0600-000013000000}"/>
    <dataValidation allowBlank="1" showInputMessage="1" showErrorMessage="1" promptTitle="2 CFR 200.330(b)" prompt="Contractor (Vendor) Costs" sqref="B77" xr:uid="{00000000-0002-0000-0600-000014000000}"/>
    <dataValidation allowBlank="1" showInputMessage="1" showErrorMessage="1" promptTitle="Service Activities" prompt="Description: https://www.obfs.uillinois.edu/government-costing/service-Activities/" sqref="B79" xr:uid="{00000000-0002-0000-0600-000015000000}"/>
    <dataValidation allowBlank="1" showInputMessage="1" showErrorMessage="1" promptTitle="Graduate College-Assistantships" prompt="https://grad.illinois.edu/assistantships" sqref="B35 B37" xr:uid="{00000000-0002-0000-0600-000016000000}"/>
    <dataValidation allowBlank="1" showInputMessage="1" showErrorMessage="1" promptTitle="Minimum Salary" prompt="FY 2020 Campus Budget Guidelines: https://www.obfs.uillinois.edu/budgeting/urbana-champaign-campus/budget-guidelines/fy-2020" sqref="B31" xr:uid="{00000000-0002-0000-0600-000017000000}"/>
    <dataValidation allowBlank="1" showInputMessage="1" showErrorMessage="1" promptTitle="Please Confirm Values for UIC" prompt="http://research.uic.edu/sponsored_programs/preparing-proposal/developing-budget/rates" sqref="K2:K3" xr:uid="{00000000-0002-0000-0600-000006000000}"/>
    <dataValidation type="list" allowBlank="1" showInputMessage="1" showErrorMessage="1" promptTitle="Project Activity Type" prompt="Select the Project Activity Type." sqref="C1:E1" xr:uid="{00000000-0002-0000-0600-000003000000}">
      <formula1>$AA$4:$AA$9</formula1>
    </dataValidation>
    <dataValidation allowBlank="1" showInputMessage="1" showErrorMessage="1" promptTitle="UIC Fringe Benefits" prompt="UIC Fringe Benefits" sqref="K4:K8" xr:uid="{722FBA78-63AA-4CA4-B7E5-161406F081DD}"/>
  </dataValidations>
  <hyperlinks>
    <hyperlink ref="B79" r:id="rId1" xr:uid="{00000000-0004-0000-0600-000006000000}"/>
  </hyperlinks>
  <printOptions horizontalCentered="1"/>
  <pageMargins left="0.25" right="0.25" top="0.75" bottom="0.75" header="0.3" footer="0.3"/>
  <pageSetup scale="53" fitToHeight="0" orientation="portrait" r:id="rId2"/>
  <headerFooter alignWithMargins="0">
    <oddHeader>&amp;L&amp;G&amp;C&amp;"Arial,Bold"&amp;12SPA Budget Template - FY27&amp;RPage &amp;P of &amp;N</oddHeader>
    <oddFooter>&amp;LSPA v.03042026&amp;RLast Updated: &amp;D</oddFooter>
  </headerFooter>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1CB4DA129797468EFB7B4E1CFB893B" ma:contentTypeVersion="12" ma:contentTypeDescription="Create a new document." ma:contentTypeScope="" ma:versionID="0d9ab3cfb7aace8da367289137d3d517">
  <xsd:schema xmlns:xsd="http://www.w3.org/2001/XMLSchema" xmlns:xs="http://www.w3.org/2001/XMLSchema" xmlns:p="http://schemas.microsoft.com/office/2006/metadata/properties" xmlns:ns2="fe9e71f5-68d9-46b7-9e17-8cf332af5b6c" xmlns:ns3="e3c5e62b-6644-408e-b5a3-82b9e6aca4c9" targetNamespace="http://schemas.microsoft.com/office/2006/metadata/properties" ma:root="true" ma:fieldsID="0f82973359a8b077e0db258f6bf92e23" ns2:_="" ns3:_="">
    <xsd:import namespace="fe9e71f5-68d9-46b7-9e17-8cf332af5b6c"/>
    <xsd:import namespace="e3c5e62b-6644-408e-b5a3-82b9e6aca4c9"/>
    <xsd:element name="properties">
      <xsd:complexType>
        <xsd:sequence>
          <xsd:element name="documentManagement">
            <xsd:complexType>
              <xsd:all>
                <xsd:element ref="ns2:MediaServiceMetadata" minOccurs="0"/>
                <xsd:element ref="ns2:MediaServiceFastMetadata" minOccurs="0"/>
                <xsd:element ref="ns2:FolderDescription"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9e71f5-68d9-46b7-9e17-8cf332af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olderDescription" ma:index="10" nillable="true" ma:displayName="Description" ma:description="HR policies, Travel policies, etc" ma:format="Dropdown" ma:internalName="FolderDescription">
      <xsd:simpleType>
        <xsd:restriction base="dms:Text">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c5e62b-6644-408e-b5a3-82b9e6aca4c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lderDescription xmlns="fe9e71f5-68d9-46b7-9e17-8cf332af5b6c" xsi:nil="true"/>
  </documentManagement>
</p:properties>
</file>

<file path=customXml/itemProps1.xml><?xml version="1.0" encoding="utf-8"?>
<ds:datastoreItem xmlns:ds="http://schemas.openxmlformats.org/officeDocument/2006/customXml" ds:itemID="{20431D9C-4856-4CD2-82BD-DAA3775772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9e71f5-68d9-46b7-9e17-8cf332af5b6c"/>
    <ds:schemaRef ds:uri="e3c5e62b-6644-408e-b5a3-82b9e6aca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491068-4A18-4770-8BDA-B9E6B7C65036}">
  <ds:schemaRefs>
    <ds:schemaRef ds:uri="http://schemas.microsoft.com/sharepoint/v3/contenttype/forms"/>
  </ds:schemaRefs>
</ds:datastoreItem>
</file>

<file path=customXml/itemProps3.xml><?xml version="1.0" encoding="utf-8"?>
<ds:datastoreItem xmlns:ds="http://schemas.openxmlformats.org/officeDocument/2006/customXml" ds:itemID="{0546F590-D1E1-4480-8BB6-CD62A282C781}">
  <ds:schemaRefs>
    <ds:schemaRef ds:uri="http://purl.org/dc/terms/"/>
    <ds:schemaRef ds:uri="http://schemas.microsoft.com/office/2006/documentManagement/types"/>
    <ds:schemaRef ds:uri="fe9e71f5-68d9-46b7-9e17-8cf332af5b6c"/>
    <ds:schemaRef ds:uri="http://purl.org/dc/elements/1.1/"/>
    <ds:schemaRef ds:uri="http://schemas.microsoft.com/office/infopath/2007/PartnerControls"/>
    <ds:schemaRef ds:uri="http://schemas.openxmlformats.org/package/2006/metadata/core-properties"/>
    <ds:schemaRef ds:uri="e3c5e62b-6644-408e-b5a3-82b9e6aca4c9"/>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General - Detailed</vt:lpstr>
      <vt:lpstr>Direct costs Detail</vt:lpstr>
      <vt:lpstr>Grad - Post Doc Rates</vt:lpstr>
      <vt:lpstr>USDA-NIFA 30%</vt:lpstr>
      <vt:lpstr>USDA-APHIS 15%</vt:lpstr>
      <vt:lpstr>Component - Detailed</vt:lpstr>
      <vt:lpstr>Cost Share</vt:lpstr>
      <vt:lpstr>UIC Component</vt:lpstr>
      <vt:lpstr>'Component - Detailed'!Print_Area</vt:lpstr>
      <vt:lpstr>'Cost Share'!Print_Area</vt:lpstr>
      <vt:lpstr>'General - Detailed'!Print_Area</vt:lpstr>
      <vt:lpstr>'UIC Component'!Print_Area</vt:lpstr>
      <vt:lpstr>'USDA-APHIS 15%'!Print_Area</vt:lpstr>
      <vt:lpstr>'USDA-NIFA 30%'!Print_Area</vt:lpstr>
      <vt:lpstr>'Component - Detailed'!Print_Titles</vt:lpstr>
      <vt:lpstr>'Cost Share'!Print_Titles</vt:lpstr>
      <vt:lpstr>'General - Detailed'!Print_Titles</vt:lpstr>
      <vt:lpstr>'UIC Component'!Print_Titles</vt:lpstr>
      <vt:lpstr>'USDA-APHIS 15%'!Print_Titles</vt:lpstr>
      <vt:lpstr>'USDA-NIFA 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Rogers, Brian P</dc:creator>
  <cp:lastModifiedBy>Menegon, Alessandro Jacopo</cp:lastModifiedBy>
  <cp:lastPrinted>2026-03-04T16:23:10Z</cp:lastPrinted>
  <dcterms:created xsi:type="dcterms:W3CDTF">1997-01-15T14:44:36Z</dcterms:created>
  <dcterms:modified xsi:type="dcterms:W3CDTF">2026-09-09T15:55:50Z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0x010100B71CB4DA129797468EFB7B4E1CFB893B</vt:lpwstr>
  </property>
</Properties>
</file>