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Business Affairs\Research Administration\Budget Proposal Templates\"/>
    </mc:Choice>
  </mc:AlternateContent>
  <xr:revisionPtr revIDLastSave="0" documentId="13_ncr:1_{4187AC85-81C4-4999-97AB-BB3451CF818E}" xr6:coauthVersionLast="47" xr6:coauthVersionMax="47" xr10:uidLastSave="{00000000-0000-0000-0000-000000000000}"/>
  <bookViews>
    <workbookView xWindow="3075" yWindow="1635" windowWidth="21600" windowHeight="12645" activeTab="1" xr2:uid="{00000000-000D-0000-FFFF-FFFF00000000}"/>
  </bookViews>
  <sheets>
    <sheet name="General" sheetId="1" r:id="rId1"/>
    <sheet name="Itemized Calculators" sheetId="2" r:id="rId2"/>
    <sheet name="Cost of GEOL Grad AY25" sheetId="5" r:id="rId3"/>
    <sheet name="Cost of Geology Postdoc" sheetId="4" r:id="rId4"/>
  </sheets>
  <externalReferences>
    <externalReference r:id="rId5"/>
  </externalReferences>
  <definedNames>
    <definedName name="lll">'[1]USDA Cap'!$AE$5</definedName>
    <definedName name="_xlnm.Print_Area" localSheetId="0">General!$A$1:$J$93</definedName>
    <definedName name="_xlnm.Print_Titles" localSheetId="0">General!$14:$14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0" i="2" l="1"/>
  <c r="D69" i="2"/>
  <c r="D58" i="2"/>
  <c r="C10" i="1"/>
  <c r="E41" i="1"/>
  <c r="E37" i="1"/>
  <c r="D46" i="1" l="1"/>
  <c r="D44" i="1"/>
  <c r="D42" i="1"/>
  <c r="E42" i="1" s="1"/>
  <c r="D40" i="1"/>
  <c r="D38" i="1"/>
  <c r="D36" i="1"/>
  <c r="D34" i="1"/>
  <c r="D25" i="1"/>
  <c r="J2" i="1"/>
  <c r="J1" i="1"/>
  <c r="D40" i="2"/>
  <c r="E38" i="1" l="1"/>
  <c r="F37" i="1"/>
  <c r="G37" i="1" s="1"/>
  <c r="H37" i="1" s="1"/>
  <c r="I37" i="1" s="1"/>
  <c r="B1" i="2" l="1"/>
  <c r="D48" i="2"/>
  <c r="D47" i="2"/>
  <c r="D46" i="2"/>
  <c r="D99" i="2"/>
  <c r="D98" i="2"/>
  <c r="D97" i="2"/>
  <c r="D96" i="2"/>
  <c r="D95" i="2"/>
  <c r="D94" i="2"/>
  <c r="D93" i="2"/>
  <c r="D130" i="2"/>
  <c r="D129" i="2"/>
  <c r="D128" i="2"/>
  <c r="D124" i="2"/>
  <c r="D123" i="2"/>
  <c r="D122" i="2"/>
  <c r="D118" i="2"/>
  <c r="D117" i="2"/>
  <c r="D116" i="2"/>
  <c r="D112" i="2"/>
  <c r="D111" i="2"/>
  <c r="D110" i="2"/>
  <c r="D109" i="2"/>
  <c r="D108" i="2"/>
  <c r="D107" i="2"/>
  <c r="D106" i="2"/>
  <c r="B27" i="1"/>
  <c r="B25" i="1"/>
  <c r="B23" i="1"/>
  <c r="B21" i="1"/>
  <c r="B19" i="1"/>
  <c r="B17" i="1"/>
  <c r="F39" i="2"/>
  <c r="F41" i="1" s="1"/>
  <c r="F42" i="1" s="1"/>
  <c r="D83" i="2"/>
  <c r="D72" i="2"/>
  <c r="D61" i="2"/>
  <c r="D81" i="2"/>
  <c r="D70" i="2"/>
  <c r="D59" i="2"/>
  <c r="D79" i="2"/>
  <c r="D68" i="2"/>
  <c r="D57" i="2"/>
  <c r="D78" i="2"/>
  <c r="D67" i="2"/>
  <c r="D56" i="2"/>
  <c r="D77" i="2"/>
  <c r="D66" i="2"/>
  <c r="D55" i="2"/>
  <c r="R161" i="1"/>
  <c r="J83" i="1"/>
  <c r="J82" i="1"/>
  <c r="J81" i="1"/>
  <c r="J80" i="1"/>
  <c r="J79" i="1"/>
  <c r="J77" i="1"/>
  <c r="J76" i="1"/>
  <c r="J72" i="1"/>
  <c r="J71" i="1"/>
  <c r="J70" i="1"/>
  <c r="J69" i="1"/>
  <c r="D27" i="1"/>
  <c r="D23" i="1"/>
  <c r="D21" i="1"/>
  <c r="D19" i="1"/>
  <c r="D17" i="1"/>
  <c r="C4" i="1"/>
  <c r="F96" i="1" s="1"/>
  <c r="C3" i="1" l="1"/>
  <c r="B89" i="1" s="1"/>
  <c r="D27" i="2"/>
  <c r="E35" i="1" s="1"/>
  <c r="G41" i="1"/>
  <c r="H41" i="1" s="1"/>
  <c r="I41" i="1" s="1"/>
  <c r="F67" i="1"/>
  <c r="G67" i="1" s="1"/>
  <c r="F66" i="1"/>
  <c r="G66" i="1" s="1"/>
  <c r="H66" i="1" s="1"/>
  <c r="I66" i="1" s="1"/>
  <c r="F68" i="1"/>
  <c r="G68" i="1" s="1"/>
  <c r="H68" i="1" s="1"/>
  <c r="I68" i="1" s="1"/>
  <c r="B15" i="2"/>
  <c r="E16" i="1" s="1"/>
  <c r="D21" i="2"/>
  <c r="E24" i="1" s="1"/>
  <c r="F24" i="1" s="1"/>
  <c r="G24" i="1" s="1"/>
  <c r="H24" i="1" s="1"/>
  <c r="I24" i="1" s="1"/>
  <c r="B33" i="2"/>
  <c r="E45" i="1" s="1"/>
  <c r="D14" i="2"/>
  <c r="E18" i="1" s="1"/>
  <c r="F18" i="1" s="1"/>
  <c r="G18" i="1" s="1"/>
  <c r="H18" i="1" s="1"/>
  <c r="I18" i="1" s="1"/>
  <c r="F21" i="2"/>
  <c r="E26" i="1" s="1"/>
  <c r="D34" i="2"/>
  <c r="E39" i="1" s="1"/>
  <c r="F14" i="2"/>
  <c r="E20" i="1" s="1"/>
  <c r="F20" i="1" s="1"/>
  <c r="G20" i="1" s="1"/>
  <c r="H20" i="1" s="1"/>
  <c r="I20" i="1" s="1"/>
  <c r="B27" i="2"/>
  <c r="E33" i="1" s="1"/>
  <c r="F27" i="2"/>
  <c r="E43" i="1" s="1"/>
  <c r="B21" i="2"/>
  <c r="E22" i="1" s="1"/>
  <c r="F22" i="1" s="1"/>
  <c r="G22" i="1" s="1"/>
  <c r="H22" i="1" s="1"/>
  <c r="I22" i="1" s="1"/>
  <c r="D49" i="2"/>
  <c r="E56" i="1" s="1"/>
  <c r="J56" i="1" s="1"/>
  <c r="D119" i="2"/>
  <c r="E65" i="1" s="1"/>
  <c r="F65" i="1" s="1"/>
  <c r="G65" i="1" s="1"/>
  <c r="H65" i="1" s="1"/>
  <c r="I65" i="1" s="1"/>
  <c r="D131" i="2"/>
  <c r="E78" i="1" s="1"/>
  <c r="F78" i="1" s="1"/>
  <c r="G78" i="1" s="1"/>
  <c r="H78" i="1" s="1"/>
  <c r="I78" i="1" s="1"/>
  <c r="D100" i="2"/>
  <c r="E61" i="1" s="1"/>
  <c r="F61" i="1" s="1"/>
  <c r="G61" i="1" s="1"/>
  <c r="H61" i="1" s="1"/>
  <c r="I61" i="1" s="1"/>
  <c r="D125" i="2"/>
  <c r="E75" i="1" s="1"/>
  <c r="F75" i="1" s="1"/>
  <c r="G75" i="1" s="1"/>
  <c r="H75" i="1" s="1"/>
  <c r="I75" i="1" s="1"/>
  <c r="D113" i="2"/>
  <c r="E64" i="1" s="1"/>
  <c r="F64" i="1" s="1"/>
  <c r="G64" i="1" s="1"/>
  <c r="H64" i="1" s="1"/>
  <c r="I64" i="1" s="1"/>
  <c r="D82" i="2"/>
  <c r="D84" i="2" s="1"/>
  <c r="D60" i="2"/>
  <c r="D62" i="2" s="1"/>
  <c r="D71" i="2"/>
  <c r="D73" i="2" s="1"/>
  <c r="D87" i="2" s="1"/>
  <c r="E59" i="1" s="1"/>
  <c r="F59" i="1" s="1"/>
  <c r="G59" i="1" s="1"/>
  <c r="H59" i="1" s="1"/>
  <c r="I59" i="1" s="1"/>
  <c r="I96" i="1"/>
  <c r="E96" i="1"/>
  <c r="G96" i="1"/>
  <c r="H96" i="1"/>
  <c r="J96" i="1"/>
  <c r="F45" i="1" l="1"/>
  <c r="G45" i="1" s="1"/>
  <c r="H45" i="1" s="1"/>
  <c r="I45" i="1" s="1"/>
  <c r="E46" i="1"/>
  <c r="F35" i="1"/>
  <c r="G35" i="1" s="1"/>
  <c r="H35" i="1" s="1"/>
  <c r="I35" i="1" s="1"/>
  <c r="E36" i="1"/>
  <c r="F33" i="1"/>
  <c r="E48" i="1"/>
  <c r="E34" i="1"/>
  <c r="F39" i="1"/>
  <c r="E40" i="1"/>
  <c r="F43" i="1"/>
  <c r="G43" i="1" s="1"/>
  <c r="H43" i="1" s="1"/>
  <c r="I43" i="1" s="1"/>
  <c r="E44" i="1"/>
  <c r="E27" i="1"/>
  <c r="F26" i="1"/>
  <c r="G26" i="1" s="1"/>
  <c r="H26" i="1" s="1"/>
  <c r="I26" i="1" s="1"/>
  <c r="I27" i="1" s="1"/>
  <c r="F16" i="1"/>
  <c r="G16" i="1" s="1"/>
  <c r="H16" i="1" s="1"/>
  <c r="I16" i="1" s="1"/>
  <c r="H67" i="1"/>
  <c r="J78" i="1"/>
  <c r="G21" i="1"/>
  <c r="J64" i="1"/>
  <c r="J59" i="1"/>
  <c r="F38" i="1"/>
  <c r="J68" i="1"/>
  <c r="G23" i="1"/>
  <c r="G25" i="1"/>
  <c r="E17" i="1"/>
  <c r="J61" i="1"/>
  <c r="F23" i="1"/>
  <c r="E23" i="1"/>
  <c r="E21" i="1"/>
  <c r="E74" i="1"/>
  <c r="E86" i="1" s="1"/>
  <c r="I23" i="1"/>
  <c r="F21" i="1"/>
  <c r="F25" i="1"/>
  <c r="E25" i="1"/>
  <c r="J75" i="1"/>
  <c r="J65" i="1"/>
  <c r="E19" i="1"/>
  <c r="D86" i="2"/>
  <c r="E58" i="1" s="1"/>
  <c r="F58" i="1" s="1"/>
  <c r="G58" i="1" s="1"/>
  <c r="H58" i="1" s="1"/>
  <c r="I58" i="1" s="1"/>
  <c r="E29" i="1"/>
  <c r="G42" i="1"/>
  <c r="J66" i="1"/>
  <c r="H42" i="1"/>
  <c r="I42" i="1"/>
  <c r="E49" i="1" l="1"/>
  <c r="E50" i="1" s="1"/>
  <c r="F17" i="1"/>
  <c r="G39" i="1"/>
  <c r="F40" i="1"/>
  <c r="G33" i="1"/>
  <c r="H33" i="1" s="1"/>
  <c r="I33" i="1" s="1"/>
  <c r="F34" i="1"/>
  <c r="F36" i="1"/>
  <c r="H36" i="1"/>
  <c r="G36" i="1"/>
  <c r="H17" i="1"/>
  <c r="I67" i="1"/>
  <c r="J67" i="1" s="1"/>
  <c r="F44" i="1"/>
  <c r="F74" i="1"/>
  <c r="F85" i="1" s="1"/>
  <c r="J58" i="1"/>
  <c r="H25" i="1"/>
  <c r="J84" i="1"/>
  <c r="H23" i="1"/>
  <c r="J23" i="1" s="1"/>
  <c r="F27" i="1"/>
  <c r="F48" i="1"/>
  <c r="E85" i="1"/>
  <c r="E30" i="1"/>
  <c r="E31" i="1" s="1"/>
  <c r="J22" i="1"/>
  <c r="J26" i="1"/>
  <c r="E52" i="1"/>
  <c r="H27" i="1"/>
  <c r="F46" i="1"/>
  <c r="G27" i="1"/>
  <c r="H21" i="1"/>
  <c r="F19" i="1"/>
  <c r="F29" i="1"/>
  <c r="J42" i="1"/>
  <c r="J41" i="1"/>
  <c r="I36" i="1"/>
  <c r="J35" i="1"/>
  <c r="I21" i="1"/>
  <c r="J20" i="1"/>
  <c r="H34" i="1" l="1"/>
  <c r="G34" i="1"/>
  <c r="H39" i="1"/>
  <c r="G40" i="1"/>
  <c r="J36" i="1"/>
  <c r="G74" i="1"/>
  <c r="G85" i="1" s="1"/>
  <c r="F49" i="1"/>
  <c r="F50" i="1" s="1"/>
  <c r="I25" i="1"/>
  <c r="J25" i="1" s="1"/>
  <c r="G44" i="1"/>
  <c r="G38" i="1"/>
  <c r="G48" i="1"/>
  <c r="J21" i="1"/>
  <c r="F86" i="1"/>
  <c r="E53" i="1"/>
  <c r="E54" i="1" s="1"/>
  <c r="E88" i="1" s="1"/>
  <c r="F52" i="1"/>
  <c r="J33" i="1"/>
  <c r="J27" i="1"/>
  <c r="G46" i="1"/>
  <c r="F30" i="1"/>
  <c r="F31" i="1" s="1"/>
  <c r="G19" i="1"/>
  <c r="G29" i="1"/>
  <c r="G17" i="1"/>
  <c r="H44" i="1"/>
  <c r="I39" i="1" l="1"/>
  <c r="I40" i="1" s="1"/>
  <c r="H40" i="1"/>
  <c r="I74" i="1"/>
  <c r="I85" i="1" s="1"/>
  <c r="G49" i="1"/>
  <c r="G50" i="1" s="1"/>
  <c r="H74" i="1"/>
  <c r="H85" i="1" s="1"/>
  <c r="H38" i="1"/>
  <c r="J24" i="1"/>
  <c r="H48" i="1"/>
  <c r="H46" i="1"/>
  <c r="G86" i="1"/>
  <c r="I34" i="1"/>
  <c r="J34" i="1" s="1"/>
  <c r="G30" i="1"/>
  <c r="G31" i="1" s="1"/>
  <c r="G52" i="1"/>
  <c r="F53" i="1"/>
  <c r="F54" i="1" s="1"/>
  <c r="F88" i="1" s="1"/>
  <c r="F89" i="1" s="1"/>
  <c r="F91" i="1" s="1"/>
  <c r="F93" i="1" s="1"/>
  <c r="F95" i="1" s="1"/>
  <c r="H29" i="1"/>
  <c r="I19" i="1"/>
  <c r="H19" i="1"/>
  <c r="I48" i="1"/>
  <c r="I44" i="1"/>
  <c r="J44" i="1" s="1"/>
  <c r="J43" i="1"/>
  <c r="I46" i="1"/>
  <c r="J45" i="1"/>
  <c r="E89" i="1"/>
  <c r="E91" i="1" s="1"/>
  <c r="E93" i="1" s="1"/>
  <c r="J39" i="1" l="1"/>
  <c r="I38" i="1"/>
  <c r="I49" i="1" s="1"/>
  <c r="I50" i="1" s="1"/>
  <c r="J37" i="1"/>
  <c r="H49" i="1"/>
  <c r="H50" i="1" s="1"/>
  <c r="H86" i="1"/>
  <c r="J38" i="1"/>
  <c r="J85" i="1"/>
  <c r="J74" i="1"/>
  <c r="I86" i="1"/>
  <c r="J46" i="1"/>
  <c r="J48" i="1"/>
  <c r="H52" i="1"/>
  <c r="G53" i="1"/>
  <c r="G54" i="1" s="1"/>
  <c r="G88" i="1" s="1"/>
  <c r="G89" i="1" s="1"/>
  <c r="J19" i="1"/>
  <c r="H30" i="1"/>
  <c r="H31" i="1" s="1"/>
  <c r="J16" i="1"/>
  <c r="I29" i="1"/>
  <c r="I52" i="1" s="1"/>
  <c r="I17" i="1"/>
  <c r="I30" i="1" s="1"/>
  <c r="J18" i="1"/>
  <c r="E95" i="1"/>
  <c r="J86" i="1" l="1"/>
  <c r="J52" i="1"/>
  <c r="J49" i="1"/>
  <c r="G91" i="1"/>
  <c r="G93" i="1" s="1"/>
  <c r="G95" i="1" s="1"/>
  <c r="H53" i="1"/>
  <c r="H54" i="1" s="1"/>
  <c r="H88" i="1" s="1"/>
  <c r="H89" i="1" s="1"/>
  <c r="H91" i="1" s="1"/>
  <c r="H93" i="1" s="1"/>
  <c r="H95" i="1" s="1"/>
  <c r="I31" i="1"/>
  <c r="J31" i="1" s="1"/>
  <c r="I53" i="1"/>
  <c r="I54" i="1" s="1"/>
  <c r="I88" i="1" s="1"/>
  <c r="J17" i="1"/>
  <c r="J29" i="1"/>
  <c r="J30" i="1"/>
  <c r="J50" i="1"/>
  <c r="J53" i="1" l="1"/>
  <c r="J54" i="1"/>
  <c r="I89" i="1"/>
  <c r="J89" i="1" s="1"/>
  <c r="J88" i="1"/>
  <c r="I91" i="1" l="1"/>
  <c r="J91" i="1" l="1"/>
  <c r="I93" i="1"/>
  <c r="I95" i="1" l="1"/>
  <c r="J93" i="1"/>
  <c r="J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Jeffries, Joe Lamar</author>
  </authors>
  <commentList>
    <comment ref="B11" authorId="0" shapeId="0" xr:uid="{00000000-0006-0000-0100-000001000000}">
      <text>
        <r>
          <rPr>
            <b/>
            <sz val="9"/>
            <color indexed="81"/>
            <rFont val="Tahoma"/>
            <family val="2"/>
          </rPr>
          <t>Jeffries, Joe Lamar:</t>
        </r>
        <r>
          <rPr>
            <sz val="9"/>
            <color indexed="81"/>
            <rFont val="Tahoma"/>
            <family val="2"/>
          </rPr>
          <t xml:space="preserve">
Academic year is considered August 16th- August 15th. 
Does the project start after the next academic year. Academic year is considered August 16th - August 15th.  </t>
        </r>
      </text>
    </comment>
    <comment ref="F25" authorId="0" shapeId="0" xr:uid="{00000000-0006-0000-0100-000002000000}">
      <text>
        <r>
          <rPr>
            <b/>
            <sz val="9"/>
            <color indexed="81"/>
            <rFont val="Tahoma"/>
            <family val="2"/>
          </rPr>
          <t>Jeffries, Joe Lamar:</t>
        </r>
        <r>
          <rPr>
            <sz val="9"/>
            <color indexed="81"/>
            <rFont val="Tahoma"/>
            <family val="2"/>
          </rPr>
          <t xml:space="preserve">
162.5 for 37.5 hours a week
173.33 for 40 hours a week</t>
        </r>
      </text>
    </comment>
    <comment ref="B31" authorId="0" shapeId="0" xr:uid="{00000000-0006-0000-0100-000003000000}">
      <text>
        <r>
          <rPr>
            <b/>
            <sz val="9"/>
            <color indexed="81"/>
            <rFont val="Tahoma"/>
            <family val="2"/>
          </rPr>
          <t>Jeffries, Joe Lamar:</t>
        </r>
        <r>
          <rPr>
            <sz val="9"/>
            <color indexed="81"/>
            <rFont val="Tahoma"/>
            <family val="2"/>
          </rPr>
          <t xml:space="preserve">
162.5 for 37.5 hours a week
173.33 for 40 hours a week</t>
        </r>
      </text>
    </comment>
  </commentList>
</comments>
</file>

<file path=xl/sharedStrings.xml><?xml version="1.0" encoding="utf-8"?>
<sst xmlns="http://schemas.openxmlformats.org/spreadsheetml/2006/main" count="308" uniqueCount="180">
  <si>
    <t>Activity Type</t>
  </si>
  <si>
    <t>Sponsored Research</t>
  </si>
  <si>
    <t>Applicable F&amp;A Rate</t>
  </si>
  <si>
    <t>Location</t>
  </si>
  <si>
    <t>On Campus</t>
  </si>
  <si>
    <t>Applicable F&amp;A Basis</t>
  </si>
  <si>
    <t>F&amp;A Basis</t>
  </si>
  <si>
    <t>Tuition Remission Rate</t>
  </si>
  <si>
    <t>Off Campus</t>
  </si>
  <si>
    <t>Basis</t>
  </si>
  <si>
    <t>F&amp;A Rate Used</t>
  </si>
  <si>
    <t>Fringe Benefit Rate (SURS)</t>
  </si>
  <si>
    <t>MTDC</t>
  </si>
  <si>
    <t>Sponsored Instruction</t>
  </si>
  <si>
    <t>TDC</t>
  </si>
  <si>
    <t>Fringe Benefit Rate (Hourly ≥ Half Time)</t>
  </si>
  <si>
    <t>Other Sponsored Activity</t>
  </si>
  <si>
    <t>Other</t>
  </si>
  <si>
    <t>Fringe Benefit Rate (Non-SURS &amp; Hourly &lt; Half Time)</t>
  </si>
  <si>
    <t>Fellowship</t>
  </si>
  <si>
    <t>Inflation Rate - Salaries</t>
  </si>
  <si>
    <t>Clinical Trial (Industry)</t>
  </si>
  <si>
    <t>Inflation Rate - Expenses</t>
  </si>
  <si>
    <t>Clinical Trial (Non-Industry)</t>
  </si>
  <si>
    <t>Period 1</t>
  </si>
  <si>
    <t>Period 2</t>
  </si>
  <si>
    <t>Period 3</t>
  </si>
  <si>
    <t>Period 4</t>
  </si>
  <si>
    <t>Period 5</t>
  </si>
  <si>
    <t>Total</t>
  </si>
  <si>
    <t>A.</t>
  </si>
  <si>
    <t>Senior Personnel</t>
  </si>
  <si>
    <t>PI/PD</t>
  </si>
  <si>
    <t>Salary</t>
  </si>
  <si>
    <t>Fringe</t>
  </si>
  <si>
    <t>Co-PI/Co-I 1</t>
  </si>
  <si>
    <t>Co-PI/Co-I 2</t>
  </si>
  <si>
    <t>Co-PI/Co-I 3</t>
  </si>
  <si>
    <t>Co-PI/Co-I 4</t>
  </si>
  <si>
    <t>Other Senior Personnel</t>
  </si>
  <si>
    <t>Subtotal</t>
  </si>
  <si>
    <t>B.</t>
  </si>
  <si>
    <t>Other Personnel</t>
  </si>
  <si>
    <t>Postdoctoral Research Assistant(s)</t>
  </si>
  <si>
    <t>Other Professional</t>
  </si>
  <si>
    <t>Graduate Assistant(s)</t>
  </si>
  <si>
    <t>Student Hourly</t>
  </si>
  <si>
    <t>Admin. Salary*</t>
  </si>
  <si>
    <t>Other (non-SURS)</t>
  </si>
  <si>
    <t>C.</t>
  </si>
  <si>
    <t>Fringe Benefits</t>
  </si>
  <si>
    <t>All Personnel</t>
  </si>
  <si>
    <t>D.</t>
  </si>
  <si>
    <t>Equipment</t>
  </si>
  <si>
    <t>E.</t>
  </si>
  <si>
    <r>
      <rPr>
        <b/>
        <sz val="10"/>
        <rFont val="Arial"/>
        <family val="2"/>
      </rPr>
      <t>Travel</t>
    </r>
    <r>
      <rPr>
        <sz val="10"/>
        <rFont val="Arial"/>
        <family val="2"/>
      </rPr>
      <t xml:space="preserve"> - Domestic</t>
    </r>
  </si>
  <si>
    <r>
      <rPr>
        <b/>
        <sz val="10"/>
        <rFont val="Arial"/>
        <family val="2"/>
      </rPr>
      <t>Travel</t>
    </r>
    <r>
      <rPr>
        <sz val="10"/>
        <rFont val="Arial"/>
        <family val="2"/>
      </rPr>
      <t xml:space="preserve"> - International</t>
    </r>
  </si>
  <si>
    <t>F.</t>
  </si>
  <si>
    <t>Participant Support Costs</t>
  </si>
  <si>
    <t>G.</t>
  </si>
  <si>
    <t>Other Direct Costs</t>
  </si>
  <si>
    <t>Materials &amp; Supplies</t>
  </si>
  <si>
    <t>Publication / Dissemination</t>
  </si>
  <si>
    <t>Consultant Services (Professional Service Costs)</t>
  </si>
  <si>
    <t>Computer Services</t>
  </si>
  <si>
    <t>Exempt Computer Services (AWS, ICCP)</t>
  </si>
  <si>
    <t xml:space="preserve">Subaward: </t>
  </si>
  <si>
    <t>Exempt Subaward Costs (&gt;$25k)</t>
  </si>
  <si>
    <t>Subaward:</t>
  </si>
  <si>
    <t>Tuition Remission</t>
  </si>
  <si>
    <t>Conference Registration</t>
  </si>
  <si>
    <t xml:space="preserve">Non-Employee Travel </t>
  </si>
  <si>
    <t>Other Contractor Costs: (Advisory Board, Printing Services)</t>
  </si>
  <si>
    <t>Animal Costs / Human Incentive Costs</t>
  </si>
  <si>
    <t>Service Activity (Internal)</t>
  </si>
  <si>
    <t>Administered Programs via RFP</t>
  </si>
  <si>
    <t>Equipment Rental</t>
  </si>
  <si>
    <t>Conference Hosting Costs (Room Rental, Honorariums)</t>
  </si>
  <si>
    <t>Shipping</t>
  </si>
  <si>
    <t>Subtotal Other-Other</t>
  </si>
  <si>
    <t>Total Other Direct Costs</t>
  </si>
  <si>
    <t>H.</t>
  </si>
  <si>
    <t>Total Direct Costs</t>
  </si>
  <si>
    <t>I.</t>
  </si>
  <si>
    <t>Total Indirect (F&amp;A) Costs</t>
  </si>
  <si>
    <t>J.</t>
  </si>
  <si>
    <t>Total Direct and F&amp;A Costs</t>
  </si>
  <si>
    <t>SPA</t>
  </si>
  <si>
    <t>Effective F&amp;A Rate</t>
  </si>
  <si>
    <t>Unrecovered F&amp;A Costs</t>
  </si>
  <si>
    <t>PI</t>
  </si>
  <si>
    <t>Salary Base 9 or 12</t>
  </si>
  <si>
    <t>Mo. of Sal. Req</t>
  </si>
  <si>
    <t>Post Doctoral</t>
  </si>
  <si>
    <t>Graduate Assistant</t>
  </si>
  <si>
    <t>How many GA</t>
  </si>
  <si>
    <t>Student # 1 Hours</t>
  </si>
  <si>
    <t>Annual Salary</t>
  </si>
  <si>
    <t>Research Assistants</t>
  </si>
  <si>
    <t>Mo rate</t>
  </si>
  <si>
    <t>9 mos.</t>
  </si>
  <si>
    <t>11 mos.</t>
  </si>
  <si>
    <t>Salary Base 9 or 11</t>
  </si>
  <si>
    <t>Hourly rate</t>
  </si>
  <si>
    <t xml:space="preserve">Monthly hours </t>
  </si>
  <si>
    <t>Student # 2 Rate</t>
  </si>
  <si>
    <t>Student # 1 Rate</t>
  </si>
  <si>
    <t>Student # 1 Weeks</t>
  </si>
  <si>
    <t>Student # 2 Hours</t>
  </si>
  <si>
    <t>Student # 2 Weeks</t>
  </si>
  <si>
    <t>Student # 3 Rate</t>
  </si>
  <si>
    <t>Student # 3 Hours</t>
  </si>
  <si>
    <t>Student # 3 Weeks</t>
  </si>
  <si>
    <t>Project Start Date</t>
  </si>
  <si>
    <t>Add Notes</t>
  </si>
  <si>
    <t>Grant Name</t>
  </si>
  <si>
    <t>Agency</t>
  </si>
  <si>
    <t>Start Date</t>
  </si>
  <si>
    <t>End Date</t>
  </si>
  <si>
    <t>Periods</t>
  </si>
  <si>
    <t>Start date after new academic year</t>
  </si>
  <si>
    <t>New Academic Start date</t>
  </si>
  <si>
    <t>Travel #1</t>
  </si>
  <si>
    <t>nights/days/time</t>
  </si>
  <si>
    <t>cost per item</t>
  </si>
  <si>
    <t>total cost item</t>
  </si>
  <si>
    <t>Travel #2</t>
  </si>
  <si>
    <t>Travel #3</t>
  </si>
  <si>
    <t>Int or Dom</t>
  </si>
  <si>
    <t>Domestic</t>
  </si>
  <si>
    <t>lodging</t>
  </si>
  <si>
    <t>airfare</t>
  </si>
  <si>
    <t>per diem</t>
  </si>
  <si>
    <t>ground travel</t>
  </si>
  <si>
    <t>per trip</t>
  </si>
  <si>
    <t>persons</t>
  </si>
  <si>
    <t>Annual Domestic Cost</t>
  </si>
  <si>
    <t>Annual International Cost</t>
  </si>
  <si>
    <t>mileage</t>
  </si>
  <si>
    <t>SALARY CALCULATOR</t>
  </si>
  <si>
    <t>TRAVEL CALCULATOR</t>
  </si>
  <si>
    <t>Materials and Supplies</t>
  </si>
  <si>
    <t>item</t>
  </si>
  <si>
    <t>cost</t>
  </si>
  <si>
    <t>quantity</t>
  </si>
  <si>
    <t>total</t>
  </si>
  <si>
    <t>conf #1 reg cost</t>
  </si>
  <si>
    <t>conf #2 reg cost</t>
  </si>
  <si>
    <t>conf #3 reg cost</t>
  </si>
  <si>
    <t>Participant Cost</t>
  </si>
  <si>
    <t xml:space="preserve">Publication </t>
  </si>
  <si>
    <t>EQUIPMENT</t>
  </si>
  <si>
    <t>Human Incentive Cost</t>
  </si>
  <si>
    <t>OTHER DIRECT COST</t>
  </si>
  <si>
    <t>PARTICIPANT COST</t>
  </si>
  <si>
    <t>Calculators</t>
  </si>
  <si>
    <t>Travel</t>
  </si>
  <si>
    <t>Other Direct Cost</t>
  </si>
  <si>
    <t>Row 8</t>
  </si>
  <si>
    <t>Row 41</t>
  </si>
  <si>
    <t>Row 50</t>
  </si>
  <si>
    <t>Row 88</t>
  </si>
  <si>
    <t>Row 101</t>
  </si>
  <si>
    <t>International</t>
  </si>
  <si>
    <t xml:space="preserve">   In general, the range for salaries used in various grant proposals is $50,000 - $55,000.</t>
  </si>
  <si>
    <t>~ increase</t>
  </si>
  <si>
    <t>All</t>
  </si>
  <si>
    <t>**The Department of Geology currency does not have a salary policy for Postdoctoral Research Associates.</t>
  </si>
  <si>
    <t>Geology</t>
  </si>
  <si>
    <t>Salary, Travel, and Other Calculators are on second tab and autopopulate in budget once entered</t>
  </si>
  <si>
    <t>Graduate Assistant &lt; halftime</t>
  </si>
  <si>
    <t>Fringe Benefit Rate (GRA ≥ Half Time Enrollment)</t>
  </si>
  <si>
    <t>Fringe Benefit Rate (GRA &lt; Half Time Enrollment)</t>
  </si>
  <si>
    <t>&lt; Half Time Enrollment</t>
  </si>
  <si>
    <t>≥ Half Time Enrollment</t>
  </si>
  <si>
    <t/>
  </si>
  <si>
    <t>GEOL Graduate Student Rates - AY24-25</t>
  </si>
  <si>
    <t>AY2025 - 08/16/24-08/15/25</t>
  </si>
  <si>
    <t>no</t>
  </si>
  <si>
    <t xml:space="preserve">   However, $45,395 is the current campus minimum for Postdoctoral Research Associates. (Campus guidelines issued for 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</si>
</sst>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s>
  <fonts count="43">
    <font>
      <sz val="10"/>
      <name val="Arial"/>
    </font>
    <font>
      <b/>
      <sz val="9"/>
      <name val="Arial"/>
      <family val="2"/>
    </font>
    <font>
      <sz val="9"/>
      <name val="Arial"/>
      <family val="2"/>
    </font>
    <font>
      <sz val="10"/>
      <name val="Arial"/>
      <family val="2"/>
    </font>
    <font>
      <u/>
      <sz val="10"/>
      <color theme="10"/>
      <name val="Arial"/>
      <family val="2"/>
    </font>
    <font>
      <u/>
      <sz val="9"/>
      <name val="Arial"/>
      <family val="2"/>
    </font>
    <font>
      <sz val="9"/>
      <color indexed="10"/>
      <name val="Arial"/>
      <family val="2"/>
    </font>
    <font>
      <sz val="9"/>
      <color indexed="8"/>
      <name val="Arial"/>
      <family val="2"/>
    </font>
    <font>
      <sz val="10"/>
      <color rgb="FFFF0000"/>
      <name val="Arial"/>
      <family val="2"/>
    </font>
    <font>
      <b/>
      <sz val="9"/>
      <color rgb="FFFF0000"/>
      <name val="Arial"/>
      <family val="2"/>
    </font>
    <font>
      <b/>
      <sz val="9"/>
      <color indexed="8"/>
      <name val="Arial"/>
      <family val="2"/>
    </font>
    <font>
      <b/>
      <sz val="10"/>
      <name val="Arial"/>
      <family val="2"/>
    </font>
    <font>
      <b/>
      <u val="singleAccounting"/>
      <sz val="9.5"/>
      <name val="Arial"/>
      <family val="2"/>
    </font>
    <font>
      <b/>
      <u val="singleAccounting"/>
      <sz val="9.5"/>
      <color indexed="8"/>
      <name val="Arial"/>
      <family val="2"/>
    </font>
    <font>
      <b/>
      <u val="singleAccounting"/>
      <sz val="9.5"/>
      <color indexed="12"/>
      <name val="Arial"/>
      <family val="2"/>
    </font>
    <font>
      <b/>
      <sz val="11"/>
      <name val="Arial"/>
      <family val="2"/>
    </font>
    <font>
      <sz val="8"/>
      <name val="Arial"/>
      <family val="2"/>
    </font>
    <font>
      <sz val="10"/>
      <color indexed="8"/>
      <name val="Arial"/>
      <family val="2"/>
    </font>
    <font>
      <sz val="10"/>
      <color indexed="12"/>
      <name val="Arial"/>
      <family val="2"/>
    </font>
    <font>
      <sz val="9"/>
      <color indexed="12"/>
      <name val="Arial"/>
      <family val="2"/>
    </font>
    <font>
      <b/>
      <sz val="10"/>
      <color indexed="8"/>
      <name val="Arial"/>
      <family val="2"/>
    </font>
    <font>
      <b/>
      <sz val="10"/>
      <color indexed="12"/>
      <name val="Arial"/>
      <family val="2"/>
    </font>
    <font>
      <sz val="10"/>
      <color indexed="10"/>
      <name val="Arial"/>
      <family val="2"/>
    </font>
    <font>
      <i/>
      <sz val="10"/>
      <name val="Arial"/>
      <family val="2"/>
    </font>
    <font>
      <i/>
      <sz val="10"/>
      <color indexed="12"/>
      <name val="Arial"/>
      <family val="2"/>
    </font>
    <font>
      <b/>
      <u/>
      <sz val="10"/>
      <name val="Arial"/>
      <family val="2"/>
    </font>
    <font>
      <b/>
      <sz val="10"/>
      <color rgb="FF0070C0"/>
      <name val="Arial"/>
      <family val="2"/>
    </font>
    <font>
      <sz val="12"/>
      <name val="Arial"/>
      <family val="2"/>
    </font>
    <font>
      <sz val="11"/>
      <name val="Arial"/>
      <family val="2"/>
    </font>
    <font>
      <sz val="11"/>
      <color indexed="8"/>
      <name val="Arial"/>
      <family val="2"/>
    </font>
    <font>
      <b/>
      <sz val="16"/>
      <name val="Arial"/>
      <family val="2"/>
    </font>
    <font>
      <b/>
      <sz val="12"/>
      <name val="Arial"/>
      <family val="2"/>
    </font>
    <font>
      <b/>
      <sz val="10"/>
      <color rgb="FFFF0000"/>
      <name val="Arial"/>
      <family val="2"/>
    </font>
    <font>
      <b/>
      <i/>
      <sz val="8"/>
      <color rgb="FFFF0000"/>
      <name val="Arial"/>
      <family val="2"/>
    </font>
    <font>
      <sz val="9"/>
      <color indexed="81"/>
      <name val="Tahoma"/>
      <family val="2"/>
    </font>
    <font>
      <b/>
      <sz val="9"/>
      <color indexed="81"/>
      <name val="Tahoma"/>
      <family val="2"/>
    </font>
    <font>
      <b/>
      <sz val="9"/>
      <color theme="0"/>
      <name val="Arial"/>
      <family val="2"/>
    </font>
    <font>
      <b/>
      <sz val="8"/>
      <name val="Arial"/>
      <family val="2"/>
    </font>
    <font>
      <b/>
      <sz val="10"/>
      <color theme="0"/>
      <name val="Arial"/>
      <family val="2"/>
    </font>
    <font>
      <sz val="10"/>
      <color theme="0"/>
      <name val="Arial"/>
      <family val="2"/>
    </font>
    <font>
      <b/>
      <sz val="12"/>
      <color theme="0"/>
      <name val="Calibri Light"/>
      <family val="2"/>
      <scheme val="major"/>
    </font>
    <font>
      <b/>
      <sz val="12"/>
      <name val="Calibri Light"/>
      <family val="2"/>
      <scheme val="major"/>
    </font>
    <font>
      <sz val="10"/>
      <name val="Geneva"/>
    </font>
  </fonts>
  <fills count="2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bgColor indexed="64"/>
      </patternFill>
    </fill>
    <fill>
      <patternFill patternType="solid">
        <fgColor theme="1" tint="4.9989318521683403E-2"/>
        <bgColor indexed="64"/>
      </patternFill>
    </fill>
    <fill>
      <patternFill patternType="solid">
        <fgColor theme="9"/>
        <bgColor indexed="64"/>
      </patternFill>
    </fill>
    <fill>
      <patternFill patternType="solid">
        <fgColor theme="9" tint="0.59999389629810485"/>
        <bgColor indexed="64"/>
      </patternFill>
    </fill>
    <fill>
      <patternFill patternType="solid">
        <fgColor rgb="FFDF1717"/>
        <bgColor indexed="64"/>
      </patternFill>
    </fill>
    <fill>
      <patternFill patternType="solid">
        <fgColor rgb="FFFF0000"/>
        <bgColor indexed="64"/>
      </patternFill>
    </fill>
    <fill>
      <patternFill patternType="solid">
        <fgColor rgb="FFF17B7B"/>
        <bgColor indexed="64"/>
      </patternFill>
    </fill>
    <fill>
      <patternFill patternType="solid">
        <fgColor theme="9" tint="0.3999755851924192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theme="1"/>
      </bottom>
      <diagonal/>
    </border>
    <border>
      <left style="thin">
        <color theme="1"/>
      </left>
      <right style="thin">
        <color theme="1"/>
      </right>
      <top style="thin">
        <color theme="1"/>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medium">
        <color indexed="64"/>
      </left>
      <right/>
      <top style="thin">
        <color indexed="64"/>
      </top>
      <bottom/>
      <diagonal/>
    </border>
  </borders>
  <cellStyleXfs count="8">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3" fillId="0" borderId="0"/>
    <xf numFmtId="43" fontId="3" fillId="0" borderId="0" applyFont="0" applyFill="0" applyBorder="0" applyAlignment="0" applyProtection="0"/>
    <xf numFmtId="0" fontId="42" fillId="0" borderId="0"/>
    <xf numFmtId="43" fontId="42" fillId="0" borderId="0" applyFont="0" applyFill="0" applyBorder="0" applyAlignment="0" applyProtection="0"/>
  </cellStyleXfs>
  <cellXfs count="293">
    <xf numFmtId="0" fontId="0" fillId="0" borderId="0" xfId="0"/>
    <xf numFmtId="0" fontId="1" fillId="0" borderId="1" xfId="0" applyFont="1" applyBorder="1" applyAlignment="1" applyProtection="1">
      <alignment horizontal="left" vertical="center"/>
    </xf>
    <xf numFmtId="0" fontId="2" fillId="0" borderId="2" xfId="0" applyFont="1" applyBorder="1" applyAlignment="1" applyProtection="1">
      <alignment horizontal="center"/>
    </xf>
    <xf numFmtId="0" fontId="5" fillId="0" borderId="2" xfId="3" applyFont="1" applyBorder="1" applyAlignment="1" applyProtection="1">
      <alignment horizontal="left" vertical="center" indent="1"/>
    </xf>
    <xf numFmtId="10" fontId="6" fillId="0" borderId="3" xfId="2" applyNumberFormat="1" applyFont="1" applyBorder="1" applyAlignment="1" applyProtection="1">
      <alignment horizontal="left" vertical="center"/>
    </xf>
    <xf numFmtId="0" fontId="0" fillId="0" borderId="4" xfId="0" applyBorder="1" applyAlignment="1" applyProtection="1"/>
    <xf numFmtId="0" fontId="0" fillId="0" borderId="0" xfId="0" applyProtection="1"/>
    <xf numFmtId="0" fontId="0" fillId="0" borderId="0" xfId="0" applyBorder="1" applyProtection="1"/>
    <xf numFmtId="0" fontId="1" fillId="0" borderId="5" xfId="0" applyFont="1" applyBorder="1" applyAlignment="1" applyProtection="1">
      <alignment vertical="center"/>
    </xf>
    <xf numFmtId="164" fontId="7" fillId="0" borderId="0" xfId="1" applyNumberFormat="1" applyFont="1" applyBorder="1" applyProtection="1"/>
    <xf numFmtId="0" fontId="5" fillId="0" borderId="0" xfId="3" applyFont="1" applyBorder="1" applyAlignment="1" applyProtection="1">
      <alignment horizontal="left" vertical="center" indent="1"/>
    </xf>
    <xf numFmtId="10" fontId="6" fillId="0" borderId="6" xfId="2" applyNumberFormat="1" applyFont="1" applyBorder="1" applyAlignment="1" applyProtection="1">
      <alignment horizontal="left" vertical="center"/>
    </xf>
    <xf numFmtId="0" fontId="0" fillId="0" borderId="0" xfId="0" applyBorder="1" applyAlignment="1" applyProtection="1"/>
    <xf numFmtId="49" fontId="0" fillId="0" borderId="0" xfId="0" applyNumberFormat="1" applyProtection="1"/>
    <xf numFmtId="0" fontId="3" fillId="0" borderId="0" xfId="0" applyFont="1" applyProtection="1"/>
    <xf numFmtId="165" fontId="8" fillId="0" borderId="0" xfId="2" applyNumberFormat="1" applyFont="1" applyProtection="1"/>
    <xf numFmtId="0" fontId="8" fillId="0" borderId="0" xfId="0" applyFont="1" applyProtection="1"/>
    <xf numFmtId="0" fontId="0" fillId="0" borderId="0" xfId="0" applyFont="1" applyProtection="1"/>
    <xf numFmtId="165" fontId="8" fillId="0" borderId="0" xfId="2" applyNumberFormat="1" applyFont="1" applyAlignment="1" applyProtection="1"/>
    <xf numFmtId="0" fontId="2" fillId="0" borderId="0" xfId="0" applyFont="1" applyBorder="1" applyAlignment="1" applyProtection="1">
      <alignment horizontal="left" vertical="center" indent="1"/>
    </xf>
    <xf numFmtId="10" fontId="2" fillId="2" borderId="6" xfId="2" applyNumberFormat="1" applyFont="1" applyFill="1" applyBorder="1" applyAlignment="1" applyProtection="1">
      <alignment horizontal="left" vertical="center"/>
    </xf>
    <xf numFmtId="164" fontId="10" fillId="0" borderId="0" xfId="1" applyNumberFormat="1" applyFont="1" applyBorder="1" applyAlignment="1" applyProtection="1">
      <alignment horizontal="right" vertical="center"/>
    </xf>
    <xf numFmtId="164" fontId="7" fillId="0" borderId="0" xfId="1" applyNumberFormat="1" applyFont="1" applyBorder="1" applyAlignment="1" applyProtection="1">
      <alignment vertical="center"/>
    </xf>
    <xf numFmtId="0" fontId="1" fillId="0" borderId="0" xfId="0" applyFont="1" applyBorder="1" applyAlignment="1" applyProtection="1">
      <alignment horizontal="right" vertical="center"/>
    </xf>
    <xf numFmtId="0" fontId="11" fillId="0" borderId="1" xfId="0" applyFont="1" applyBorder="1" applyProtection="1"/>
    <xf numFmtId="0" fontId="11" fillId="0" borderId="2" xfId="0" applyFont="1" applyBorder="1" applyProtection="1"/>
    <xf numFmtId="164" fontId="12" fillId="0" borderId="2" xfId="1" applyNumberFormat="1" applyFont="1" applyBorder="1" applyAlignment="1" applyProtection="1">
      <alignment horizontal="center" vertical="top"/>
    </xf>
    <xf numFmtId="164" fontId="13" fillId="0" borderId="2" xfId="1" applyNumberFormat="1" applyFont="1" applyBorder="1" applyAlignment="1" applyProtection="1">
      <alignment horizontal="center" vertical="top"/>
    </xf>
    <xf numFmtId="0" fontId="11" fillId="0" borderId="0" xfId="0" applyFont="1" applyProtection="1"/>
    <xf numFmtId="0" fontId="11" fillId="0" borderId="5" xfId="0" applyFont="1" applyBorder="1" applyAlignment="1" applyProtection="1">
      <alignment horizontal="center"/>
    </xf>
    <xf numFmtId="0" fontId="15" fillId="0" borderId="0" xfId="0" applyFont="1" applyBorder="1" applyAlignment="1" applyProtection="1">
      <alignment horizontal="left"/>
    </xf>
    <xf numFmtId="0" fontId="11" fillId="0" borderId="0" xfId="0" applyFont="1" applyBorder="1" applyProtection="1"/>
    <xf numFmtId="0" fontId="11" fillId="0" borderId="6" xfId="0" applyFont="1" applyBorder="1" applyProtection="1"/>
    <xf numFmtId="0" fontId="0" fillId="0" borderId="5" xfId="0" applyBorder="1" applyProtection="1"/>
    <xf numFmtId="0" fontId="3" fillId="0" borderId="0" xfId="0" applyFont="1" applyBorder="1" applyAlignment="1" applyProtection="1">
      <alignment horizontal="left"/>
    </xf>
    <xf numFmtId="1" fontId="3" fillId="0" borderId="0" xfId="0" applyNumberFormat="1" applyFont="1" applyBorder="1" applyAlignment="1" applyProtection="1">
      <alignment horizontal="left"/>
    </xf>
    <xf numFmtId="166" fontId="16" fillId="0" borderId="0" xfId="1" applyNumberFormat="1" applyFont="1" applyFill="1" applyBorder="1" applyProtection="1"/>
    <xf numFmtId="164" fontId="17" fillId="0" borderId="0" xfId="1" quotePrefix="1" applyNumberFormat="1" applyFont="1" applyBorder="1" applyProtection="1">
      <protection locked="0"/>
    </xf>
    <xf numFmtId="164" fontId="17" fillId="0" borderId="0" xfId="1" applyNumberFormat="1" applyFont="1" applyBorder="1" applyProtection="1">
      <protection locked="0"/>
    </xf>
    <xf numFmtId="164" fontId="18" fillId="0" borderId="6" xfId="1" applyNumberFormat="1" applyFont="1" applyBorder="1" applyProtection="1"/>
    <xf numFmtId="164" fontId="17" fillId="0" borderId="0" xfId="1" applyNumberFormat="1" applyFont="1" applyFill="1" applyBorder="1" applyProtection="1"/>
    <xf numFmtId="1" fontId="2" fillId="0" borderId="0" xfId="0" applyNumberFormat="1" applyFont="1" applyFill="1" applyBorder="1" applyAlignment="1" applyProtection="1">
      <alignment horizontal="left"/>
    </xf>
    <xf numFmtId="10" fontId="2" fillId="2" borderId="0" xfId="2" applyNumberFormat="1" applyFont="1" applyFill="1" applyBorder="1" applyProtection="1">
      <protection locked="0"/>
    </xf>
    <xf numFmtId="164" fontId="7" fillId="3" borderId="0" xfId="1" quotePrefix="1" applyNumberFormat="1" applyFont="1" applyFill="1" applyBorder="1" applyProtection="1">
      <protection locked="0"/>
    </xf>
    <xf numFmtId="164" fontId="19" fillId="3" borderId="6" xfId="1" applyNumberFormat="1" applyFont="1" applyFill="1" applyBorder="1" applyProtection="1"/>
    <xf numFmtId="1" fontId="2" fillId="0" borderId="0" xfId="0" applyNumberFormat="1" applyFont="1" applyBorder="1" applyAlignment="1" applyProtection="1">
      <alignment horizontal="left"/>
    </xf>
    <xf numFmtId="0" fontId="3" fillId="0" borderId="0" xfId="0" applyFont="1" applyBorder="1" applyAlignment="1" applyProtection="1">
      <alignment horizontal="center"/>
    </xf>
    <xf numFmtId="1" fontId="3" fillId="0" borderId="0" xfId="0" applyNumberFormat="1" applyFont="1" applyBorder="1" applyProtection="1"/>
    <xf numFmtId="10" fontId="3" fillId="0" borderId="0" xfId="2" applyNumberFormat="1" applyFont="1" applyFill="1" applyBorder="1" applyProtection="1"/>
    <xf numFmtId="164" fontId="17" fillId="0" borderId="0" xfId="1" applyNumberFormat="1" applyFont="1" applyBorder="1" applyProtection="1"/>
    <xf numFmtId="0" fontId="11" fillId="0" borderId="0" xfId="0" applyFont="1" applyBorder="1" applyAlignment="1" applyProtection="1">
      <alignment horizontal="right"/>
    </xf>
    <xf numFmtId="1" fontId="11" fillId="0" borderId="0" xfId="0" applyNumberFormat="1" applyFont="1" applyBorder="1" applyAlignment="1" applyProtection="1">
      <alignment horizontal="left"/>
    </xf>
    <xf numFmtId="0" fontId="3" fillId="0" borderId="5" xfId="0" applyFont="1" applyBorder="1" applyAlignment="1" applyProtection="1">
      <alignment horizontal="center"/>
    </xf>
    <xf numFmtId="0" fontId="3" fillId="0" borderId="0" xfId="0" applyFont="1" applyBorder="1" applyProtection="1"/>
    <xf numFmtId="1" fontId="11" fillId="0" borderId="7" xfId="0" applyNumberFormat="1" applyFont="1" applyBorder="1" applyAlignment="1" applyProtection="1">
      <alignment horizontal="left"/>
    </xf>
    <xf numFmtId="1" fontId="3" fillId="3" borderId="7" xfId="0" applyNumberFormat="1" applyFont="1" applyFill="1" applyBorder="1" applyProtection="1"/>
    <xf numFmtId="164" fontId="7" fillId="3" borderId="7" xfId="1" quotePrefix="1" applyNumberFormat="1" applyFont="1" applyFill="1" applyBorder="1" applyProtection="1">
      <protection locked="0"/>
    </xf>
    <xf numFmtId="164" fontId="19" fillId="3" borderId="8" xfId="1" applyNumberFormat="1" applyFont="1" applyFill="1" applyBorder="1" applyProtection="1"/>
    <xf numFmtId="164" fontId="20" fillId="0" borderId="0" xfId="1" applyNumberFormat="1" applyFont="1" applyFill="1" applyBorder="1" applyProtection="1"/>
    <xf numFmtId="1" fontId="11" fillId="0" borderId="0" xfId="0" applyNumberFormat="1" applyFont="1" applyBorder="1" applyProtection="1"/>
    <xf numFmtId="164" fontId="20" fillId="0" borderId="0" xfId="1" applyNumberFormat="1" applyFont="1" applyBorder="1" applyProtection="1"/>
    <xf numFmtId="164" fontId="21" fillId="0" borderId="6" xfId="1" applyNumberFormat="1" applyFont="1" applyBorder="1" applyProtection="1"/>
    <xf numFmtId="0" fontId="11" fillId="0" borderId="0" xfId="0" applyFont="1" applyBorder="1" applyAlignment="1" applyProtection="1">
      <alignment horizontal="left"/>
    </xf>
    <xf numFmtId="10" fontId="11" fillId="0" borderId="0" xfId="2" applyNumberFormat="1" applyFont="1" applyFill="1" applyBorder="1" applyProtection="1"/>
    <xf numFmtId="10" fontId="11" fillId="3" borderId="7" xfId="2" applyNumberFormat="1" applyFont="1" applyFill="1" applyBorder="1" applyProtection="1"/>
    <xf numFmtId="0" fontId="11" fillId="0" borderId="7" xfId="0" applyFont="1" applyBorder="1" applyAlignment="1" applyProtection="1">
      <alignment horizontal="left"/>
    </xf>
    <xf numFmtId="164" fontId="22" fillId="0" borderId="0" xfId="1" applyNumberFormat="1" applyFont="1" applyBorder="1" applyProtection="1">
      <protection locked="0"/>
    </xf>
    <xf numFmtId="164" fontId="22" fillId="0" borderId="0" xfId="1" applyNumberFormat="1" applyFont="1" applyBorder="1" applyProtection="1"/>
    <xf numFmtId="0" fontId="23" fillId="0" borderId="0" xfId="0" applyFont="1"/>
    <xf numFmtId="164" fontId="8" fillId="0" borderId="0" xfId="1" applyNumberFormat="1" applyFont="1" applyBorder="1" applyProtection="1">
      <protection locked="0"/>
    </xf>
    <xf numFmtId="0" fontId="11" fillId="0" borderId="0" xfId="0" applyFont="1" applyBorder="1" applyAlignment="1">
      <alignment vertical="center"/>
    </xf>
    <xf numFmtId="1" fontId="3" fillId="0" borderId="0" xfId="0" applyNumberFormat="1" applyFont="1" applyBorder="1" applyAlignment="1" applyProtection="1">
      <alignment horizontal="left" indent="1"/>
    </xf>
    <xf numFmtId="164" fontId="3" fillId="0" borderId="0" xfId="1" applyNumberFormat="1" applyFont="1" applyBorder="1" applyProtection="1">
      <protection locked="0"/>
    </xf>
    <xf numFmtId="166" fontId="0" fillId="0" borderId="0" xfId="0" applyNumberFormat="1" applyProtection="1"/>
    <xf numFmtId="1" fontId="3" fillId="0" borderId="0" xfId="3" applyNumberFormat="1" applyFont="1" applyBorder="1" applyAlignment="1" applyProtection="1">
      <alignment horizontal="left" indent="1"/>
    </xf>
    <xf numFmtId="1" fontId="23" fillId="0" borderId="7" xfId="0" applyNumberFormat="1" applyFont="1" applyBorder="1" applyAlignment="1" applyProtection="1">
      <alignment horizontal="left" indent="1"/>
    </xf>
    <xf numFmtId="1" fontId="3" fillId="0" borderId="7" xfId="0" applyNumberFormat="1" applyFont="1" applyBorder="1" applyProtection="1"/>
    <xf numFmtId="164" fontId="3" fillId="0" borderId="7" xfId="1" applyNumberFormat="1" applyFont="1" applyBorder="1" applyProtection="1">
      <protection locked="0"/>
    </xf>
    <xf numFmtId="164" fontId="17" fillId="0" borderId="7" xfId="1" applyNumberFormat="1" applyFont="1" applyBorder="1" applyProtection="1">
      <protection locked="0"/>
    </xf>
    <xf numFmtId="164" fontId="18" fillId="0" borderId="8" xfId="1" applyNumberFormat="1" applyFont="1" applyBorder="1" applyProtection="1"/>
    <xf numFmtId="0" fontId="11" fillId="0" borderId="0" xfId="0" applyFont="1" applyBorder="1" applyAlignment="1" applyProtection="1">
      <alignment horizontal="left" indent="1"/>
    </xf>
    <xf numFmtId="164" fontId="11" fillId="0" borderId="0" xfId="1" applyNumberFormat="1" applyFont="1" applyBorder="1" applyProtection="1">
      <protection locked="0"/>
    </xf>
    <xf numFmtId="164" fontId="11" fillId="0" borderId="0" xfId="1" applyNumberFormat="1" applyFont="1" applyBorder="1" applyProtection="1"/>
    <xf numFmtId="0" fontId="23" fillId="0" borderId="0" xfId="0" applyFont="1" applyBorder="1" applyAlignment="1" applyProtection="1">
      <alignment horizontal="left" indent="1"/>
    </xf>
    <xf numFmtId="1" fontId="23" fillId="0" borderId="0" xfId="0" applyNumberFormat="1" applyFont="1" applyBorder="1" applyProtection="1"/>
    <xf numFmtId="164" fontId="23" fillId="0" borderId="0" xfId="1" applyNumberFormat="1" applyFont="1" applyBorder="1" applyProtection="1"/>
    <xf numFmtId="164" fontId="24" fillId="0" borderId="6" xfId="1" applyNumberFormat="1" applyFont="1" applyBorder="1" applyProtection="1"/>
    <xf numFmtId="0" fontId="11" fillId="0" borderId="9" xfId="0" applyFont="1" applyBorder="1" applyAlignment="1" applyProtection="1">
      <alignment horizontal="center"/>
    </xf>
    <xf numFmtId="0" fontId="11" fillId="0" borderId="10" xfId="0" applyFont="1" applyBorder="1" applyAlignment="1" applyProtection="1">
      <alignment horizontal="left"/>
    </xf>
    <xf numFmtId="1" fontId="3" fillId="0" borderId="10" xfId="0" applyNumberFormat="1" applyFont="1" applyBorder="1" applyProtection="1"/>
    <xf numFmtId="164" fontId="11" fillId="0" borderId="10" xfId="1" applyNumberFormat="1" applyFont="1" applyBorder="1" applyProtection="1"/>
    <xf numFmtId="164" fontId="21" fillId="0" borderId="11" xfId="1" applyNumberFormat="1" applyFont="1" applyBorder="1" applyProtection="1"/>
    <xf numFmtId="1" fontId="3" fillId="4" borderId="2" xfId="0" applyNumberFormat="1" applyFont="1" applyFill="1" applyBorder="1" applyProtection="1"/>
    <xf numFmtId="0" fontId="3" fillId="4" borderId="2" xfId="0" applyFont="1" applyFill="1" applyBorder="1" applyProtection="1"/>
    <xf numFmtId="165" fontId="3" fillId="4" borderId="2" xfId="2" applyNumberFormat="1" applyFont="1" applyFill="1" applyBorder="1" applyProtection="1"/>
    <xf numFmtId="165" fontId="26" fillId="4" borderId="3" xfId="2" applyNumberFormat="1" applyFont="1" applyFill="1" applyBorder="1" applyProtection="1"/>
    <xf numFmtId="1" fontId="3" fillId="4" borderId="10" xfId="0" applyNumberFormat="1" applyFont="1" applyFill="1" applyBorder="1" applyProtection="1"/>
    <xf numFmtId="0" fontId="3" fillId="4" borderId="10" xfId="0" applyFont="1" applyFill="1" applyBorder="1" applyProtection="1"/>
    <xf numFmtId="42" fontId="17" fillId="4" borderId="10" xfId="1" applyNumberFormat="1" applyFont="1" applyFill="1" applyBorder="1" applyProtection="1"/>
    <xf numFmtId="42" fontId="26" fillId="4" borderId="11" xfId="1" applyNumberFormat="1" applyFont="1" applyFill="1" applyBorder="1" applyProtection="1"/>
    <xf numFmtId="0" fontId="11" fillId="0" borderId="0" xfId="0" applyFont="1" applyAlignment="1" applyProtection="1">
      <alignment horizontal="center"/>
    </xf>
    <xf numFmtId="0" fontId="3" fillId="0" borderId="0" xfId="0" applyFont="1" applyAlignment="1" applyProtection="1">
      <alignment horizontal="center"/>
    </xf>
    <xf numFmtId="164" fontId="3" fillId="0" borderId="0" xfId="1" applyNumberFormat="1" applyFont="1" applyProtection="1"/>
    <xf numFmtId="164" fontId="18" fillId="0" borderId="0" xfId="1" applyNumberFormat="1" applyFont="1" applyProtection="1"/>
    <xf numFmtId="164" fontId="17" fillId="0" borderId="0" xfId="1" applyNumberFormat="1" applyFont="1" applyProtection="1"/>
    <xf numFmtId="0" fontId="28" fillId="0" borderId="0" xfId="0" applyFont="1"/>
    <xf numFmtId="0" fontId="28" fillId="0" borderId="5" xfId="0" applyFont="1" applyBorder="1" applyProtection="1"/>
    <xf numFmtId="164" fontId="29" fillId="0" borderId="14" xfId="1" applyNumberFormat="1" applyFont="1" applyFill="1" applyBorder="1" applyAlignment="1" applyProtection="1">
      <alignment horizontal="right" vertical="top"/>
    </xf>
    <xf numFmtId="0" fontId="28" fillId="0" borderId="0" xfId="0" applyFont="1" applyProtection="1"/>
    <xf numFmtId="44" fontId="28" fillId="0" borderId="15" xfId="1" applyFont="1" applyBorder="1" applyAlignment="1" applyProtection="1">
      <alignment horizontal="right"/>
    </xf>
    <xf numFmtId="44" fontId="28" fillId="0" borderId="14" xfId="1" applyFont="1" applyBorder="1" applyAlignment="1" applyProtection="1">
      <alignment horizontal="right"/>
    </xf>
    <xf numFmtId="0" fontId="28" fillId="0" borderId="14" xfId="0" applyFont="1" applyBorder="1" applyAlignment="1" applyProtection="1">
      <alignment horizontal="right"/>
    </xf>
    <xf numFmtId="0" fontId="28" fillId="0" borderId="14" xfId="0" applyFont="1" applyBorder="1" applyAlignment="1" applyProtection="1"/>
    <xf numFmtId="164" fontId="29" fillId="0" borderId="0" xfId="1" applyNumberFormat="1" applyFont="1" applyFill="1" applyBorder="1" applyProtection="1"/>
    <xf numFmtId="44" fontId="15" fillId="6" borderId="16" xfId="0" applyNumberFormat="1" applyFont="1" applyFill="1" applyBorder="1" applyAlignment="1" applyProtection="1"/>
    <xf numFmtId="164" fontId="29" fillId="0" borderId="5" xfId="1" applyNumberFormat="1" applyFont="1" applyFill="1" applyBorder="1" applyProtection="1"/>
    <xf numFmtId="44" fontId="28" fillId="0" borderId="0" xfId="0" applyNumberFormat="1" applyFont="1" applyBorder="1" applyAlignment="1" applyProtection="1"/>
    <xf numFmtId="164" fontId="28" fillId="0" borderId="0" xfId="1" applyNumberFormat="1" applyFont="1" applyFill="1" applyBorder="1" applyProtection="1"/>
    <xf numFmtId="0" fontId="15" fillId="0" borderId="17" xfId="0" applyFont="1" applyBorder="1" applyProtection="1"/>
    <xf numFmtId="0" fontId="28" fillId="0" borderId="13" xfId="0" applyFont="1" applyBorder="1" applyProtection="1"/>
    <xf numFmtId="0" fontId="28" fillId="0" borderId="15" xfId="0" applyFont="1" applyBorder="1" applyProtection="1"/>
    <xf numFmtId="44" fontId="28" fillId="0" borderId="14" xfId="1" applyFont="1" applyBorder="1" applyProtection="1"/>
    <xf numFmtId="0" fontId="28" fillId="0" borderId="14" xfId="0" applyFont="1" applyBorder="1" applyProtection="1"/>
    <xf numFmtId="0" fontId="28" fillId="0" borderId="17" xfId="0" applyFont="1" applyFill="1" applyBorder="1" applyProtection="1"/>
    <xf numFmtId="0" fontId="28" fillId="0" borderId="18" xfId="0" applyFont="1" applyFill="1" applyBorder="1" applyProtection="1"/>
    <xf numFmtId="0" fontId="28" fillId="0" borderId="19" xfId="0" applyFont="1" applyBorder="1" applyProtection="1"/>
    <xf numFmtId="0" fontId="15" fillId="0" borderId="12" xfId="0" applyFont="1" applyBorder="1" applyAlignment="1" applyProtection="1"/>
    <xf numFmtId="0" fontId="15" fillId="0" borderId="7" xfId="0" applyFont="1" applyBorder="1" applyAlignment="1" applyProtection="1"/>
    <xf numFmtId="0" fontId="15" fillId="0" borderId="12" xfId="0" applyFont="1" applyBorder="1" applyAlignment="1" applyProtection="1">
      <alignment wrapText="1"/>
    </xf>
    <xf numFmtId="0" fontId="15" fillId="0" borderId="13" xfId="0" applyFont="1" applyBorder="1" applyAlignment="1" applyProtection="1">
      <alignment wrapText="1"/>
    </xf>
    <xf numFmtId="0" fontId="15" fillId="0" borderId="7" xfId="0" applyFont="1" applyBorder="1" applyAlignment="1" applyProtection="1">
      <alignment wrapText="1"/>
    </xf>
    <xf numFmtId="43" fontId="0" fillId="0" borderId="10" xfId="5" applyFont="1" applyBorder="1"/>
    <xf numFmtId="0" fontId="28" fillId="0" borderId="0" xfId="0" applyFont="1" applyAlignment="1">
      <alignment wrapText="1"/>
    </xf>
    <xf numFmtId="0" fontId="0" fillId="0" borderId="0" xfId="0" applyAlignment="1">
      <alignment wrapText="1"/>
    </xf>
    <xf numFmtId="0" fontId="15" fillId="0" borderId="17" xfId="0" applyFont="1" applyBorder="1" applyAlignment="1" applyProtection="1">
      <alignment horizontal="left" wrapText="1"/>
    </xf>
    <xf numFmtId="0" fontId="15" fillId="0" borderId="17" xfId="0" applyFont="1" applyFill="1" applyBorder="1" applyAlignment="1" applyProtection="1">
      <alignment horizontal="left" wrapText="1"/>
    </xf>
    <xf numFmtId="0" fontId="28" fillId="0" borderId="0" xfId="0" applyFont="1" applyAlignment="1" applyProtection="1">
      <alignment wrapText="1"/>
    </xf>
    <xf numFmtId="0" fontId="15" fillId="0" borderId="12" xfId="0" applyFont="1" applyBorder="1" applyAlignment="1" applyProtection="1">
      <alignment horizontal="left"/>
    </xf>
    <xf numFmtId="0" fontId="15" fillId="0" borderId="13" xfId="0" applyFont="1" applyBorder="1" applyAlignment="1" applyProtection="1">
      <alignment horizontal="left"/>
    </xf>
    <xf numFmtId="44" fontId="28" fillId="0" borderId="14" xfId="1" applyFont="1" applyFill="1" applyBorder="1" applyAlignment="1" applyProtection="1">
      <alignment horizontal="right"/>
    </xf>
    <xf numFmtId="0" fontId="28" fillId="0" borderId="14" xfId="0" applyFont="1" applyFill="1" applyBorder="1" applyAlignment="1" applyProtection="1">
      <alignment horizontal="right"/>
    </xf>
    <xf numFmtId="0" fontId="3" fillId="0" borderId="0" xfId="0" applyFont="1"/>
    <xf numFmtId="0" fontId="37" fillId="0" borderId="0" xfId="0" applyFont="1" applyBorder="1" applyAlignment="1" applyProtection="1">
      <alignment horizontal="left" indent="1"/>
    </xf>
    <xf numFmtId="14" fontId="0" fillId="10" borderId="16" xfId="0" applyNumberFormat="1" applyFill="1" applyBorder="1"/>
    <xf numFmtId="2" fontId="0" fillId="0" borderId="0" xfId="0" applyNumberFormat="1"/>
    <xf numFmtId="0" fontId="28" fillId="0" borderId="5" xfId="0" applyFont="1" applyBorder="1" applyAlignment="1" applyProtection="1">
      <alignment wrapText="1"/>
    </xf>
    <xf numFmtId="0" fontId="38" fillId="11" borderId="16" xfId="0" applyFont="1" applyFill="1" applyBorder="1"/>
    <xf numFmtId="14" fontId="39" fillId="11" borderId="16" xfId="0" applyNumberFormat="1" applyFont="1" applyFill="1" applyBorder="1"/>
    <xf numFmtId="0" fontId="11" fillId="10" borderId="16" xfId="0" applyFont="1" applyFill="1" applyBorder="1"/>
    <xf numFmtId="0" fontId="3" fillId="0" borderId="12" xfId="0" applyFont="1" applyBorder="1"/>
    <xf numFmtId="0" fontId="3" fillId="0" borderId="0" xfId="0" applyFont="1" applyBorder="1"/>
    <xf numFmtId="0" fontId="3" fillId="0" borderId="7" xfId="0" applyFont="1" applyBorder="1"/>
    <xf numFmtId="0" fontId="11" fillId="0" borderId="32" xfId="0" applyFont="1" applyFill="1" applyBorder="1" applyProtection="1"/>
    <xf numFmtId="0" fontId="0" fillId="0" borderId="33" xfId="0" applyBorder="1" applyProtection="1"/>
    <xf numFmtId="0" fontId="11" fillId="0" borderId="34" xfId="0" applyFont="1" applyFill="1" applyBorder="1" applyProtection="1"/>
    <xf numFmtId="0" fontId="0" fillId="0" borderId="34" xfId="0" applyBorder="1" applyProtection="1"/>
    <xf numFmtId="0" fontId="17" fillId="0" borderId="0" xfId="1" applyNumberFormat="1" applyFont="1" applyFill="1" applyBorder="1" applyProtection="1">
      <protection locked="0"/>
    </xf>
    <xf numFmtId="44" fontId="0" fillId="0" borderId="0" xfId="1" applyFont="1"/>
    <xf numFmtId="44" fontId="0" fillId="0" borderId="20" xfId="1" applyFont="1" applyBorder="1"/>
    <xf numFmtId="44" fontId="0" fillId="0" borderId="16" xfId="1" applyFont="1" applyBorder="1"/>
    <xf numFmtId="44" fontId="0" fillId="7" borderId="0" xfId="1" applyFont="1" applyFill="1"/>
    <xf numFmtId="0" fontId="0" fillId="0" borderId="12" xfId="0" applyBorder="1"/>
    <xf numFmtId="0" fontId="0" fillId="0" borderId="7" xfId="0" applyBorder="1" applyProtection="1"/>
    <xf numFmtId="44" fontId="0" fillId="0" borderId="7" xfId="1" applyFont="1" applyBorder="1"/>
    <xf numFmtId="0" fontId="3" fillId="0" borderId="36" xfId="0" applyFont="1" applyBorder="1"/>
    <xf numFmtId="0" fontId="0" fillId="0" borderId="18" xfId="0" applyBorder="1"/>
    <xf numFmtId="0" fontId="0" fillId="0" borderId="18" xfId="0" applyBorder="1" applyProtection="1"/>
    <xf numFmtId="0" fontId="0" fillId="0" borderId="37" xfId="0" applyBorder="1" applyProtection="1"/>
    <xf numFmtId="44" fontId="3" fillId="0" borderId="20" xfId="1" applyFont="1" applyBorder="1"/>
    <xf numFmtId="0" fontId="38" fillId="0" borderId="0" xfId="0" applyFont="1" applyFill="1" applyBorder="1"/>
    <xf numFmtId="14" fontId="39" fillId="0" borderId="0" xfId="0" applyNumberFormat="1" applyFont="1" applyFill="1" applyBorder="1"/>
    <xf numFmtId="0" fontId="11" fillId="9" borderId="0" xfId="0" applyFont="1" applyFill="1" applyProtection="1"/>
    <xf numFmtId="0" fontId="0" fillId="9" borderId="33" xfId="0" applyFill="1" applyBorder="1" applyProtection="1"/>
    <xf numFmtId="0" fontId="11" fillId="9" borderId="35" xfId="0" applyFont="1" applyFill="1" applyBorder="1" applyProtection="1"/>
    <xf numFmtId="0" fontId="15" fillId="0" borderId="13" xfId="0" applyFont="1" applyBorder="1" applyProtection="1"/>
    <xf numFmtId="0" fontId="25" fillId="0" borderId="0" xfId="0" applyFont="1" applyProtection="1"/>
    <xf numFmtId="0" fontId="0" fillId="0" borderId="7" xfId="0" applyFont="1" applyBorder="1" applyProtection="1"/>
    <xf numFmtId="0" fontId="3" fillId="0" borderId="7" xfId="0" applyFont="1" applyBorder="1" applyProtection="1"/>
    <xf numFmtId="0" fontId="3" fillId="0" borderId="31" xfId="0" applyFont="1" applyBorder="1" applyProtection="1"/>
    <xf numFmtId="44" fontId="0" fillId="0" borderId="16" xfId="1" applyFont="1" applyBorder="1" applyProtection="1"/>
    <xf numFmtId="0" fontId="3" fillId="0" borderId="38" xfId="0" applyFont="1" applyBorder="1" applyProtection="1"/>
    <xf numFmtId="0" fontId="0" fillId="0" borderId="38" xfId="0" applyBorder="1" applyProtection="1"/>
    <xf numFmtId="0" fontId="0" fillId="0" borderId="39" xfId="0" applyBorder="1" applyProtection="1"/>
    <xf numFmtId="0" fontId="11" fillId="0" borderId="12" xfId="0" applyFont="1" applyBorder="1"/>
    <xf numFmtId="0" fontId="3" fillId="0" borderId="0" xfId="1" applyNumberFormat="1" applyFont="1" applyFill="1" applyBorder="1" applyProtection="1">
      <protection locked="0"/>
    </xf>
    <xf numFmtId="166" fontId="0" fillId="0" borderId="0" xfId="0" applyNumberFormat="1"/>
    <xf numFmtId="0" fontId="3" fillId="0" borderId="36" xfId="0" applyFont="1" applyBorder="1" applyProtection="1"/>
    <xf numFmtId="0" fontId="3" fillId="0" borderId="18" xfId="1" applyNumberFormat="1" applyFont="1" applyFill="1" applyBorder="1" applyProtection="1">
      <protection locked="0"/>
    </xf>
    <xf numFmtId="44" fontId="11" fillId="0" borderId="19" xfId="1" applyFont="1" applyBorder="1"/>
    <xf numFmtId="44" fontId="0" fillId="0" borderId="37" xfId="1" applyFont="1" applyBorder="1"/>
    <xf numFmtId="44" fontId="0" fillId="0" borderId="37" xfId="1" applyFont="1" applyBorder="1" applyProtection="1"/>
    <xf numFmtId="1" fontId="11" fillId="0" borderId="7" xfId="0" applyNumberFormat="1" applyFont="1" applyBorder="1" applyProtection="1"/>
    <xf numFmtId="1" fontId="11" fillId="0" borderId="7" xfId="0" applyNumberFormat="1" applyFont="1" applyBorder="1" applyAlignment="1" applyProtection="1"/>
    <xf numFmtId="44" fontId="3" fillId="0" borderId="0" xfId="1" applyFont="1"/>
    <xf numFmtId="44" fontId="3" fillId="0" borderId="19" xfId="1" applyFont="1" applyBorder="1"/>
    <xf numFmtId="44" fontId="3" fillId="0" borderId="0" xfId="1" applyFont="1" applyProtection="1"/>
    <xf numFmtId="44" fontId="0" fillId="0" borderId="0" xfId="1" applyFont="1" applyProtection="1"/>
    <xf numFmtId="44" fontId="0" fillId="0" borderId="18" xfId="1" applyFont="1" applyBorder="1" applyProtection="1"/>
    <xf numFmtId="0" fontId="0" fillId="0" borderId="29" xfId="0" applyFont="1" applyFill="1" applyBorder="1" applyProtection="1"/>
    <xf numFmtId="0" fontId="3" fillId="0" borderId="29" xfId="0" applyFont="1" applyBorder="1"/>
    <xf numFmtId="0" fontId="41" fillId="13" borderId="29" xfId="0" applyFont="1" applyFill="1" applyBorder="1" applyAlignment="1">
      <alignment horizontal="center"/>
    </xf>
    <xf numFmtId="44" fontId="11" fillId="16" borderId="20" xfId="1" applyFont="1" applyFill="1" applyBorder="1" applyProtection="1"/>
    <xf numFmtId="44" fontId="11" fillId="16" borderId="20" xfId="0" applyNumberFormat="1" applyFont="1" applyFill="1" applyBorder="1" applyProtection="1"/>
    <xf numFmtId="44" fontId="11" fillId="20" borderId="20" xfId="1" applyFont="1" applyFill="1" applyBorder="1" applyProtection="1"/>
    <xf numFmtId="44" fontId="11" fillId="15" borderId="20" xfId="0" applyNumberFormat="1" applyFont="1" applyFill="1" applyBorder="1" applyProtection="1"/>
    <xf numFmtId="0" fontId="0" fillId="0" borderId="0" xfId="0" applyFill="1"/>
    <xf numFmtId="0" fontId="3" fillId="0" borderId="18" xfId="0" applyFont="1" applyFill="1" applyBorder="1"/>
    <xf numFmtId="2" fontId="3" fillId="13" borderId="0" xfId="0" applyNumberFormat="1" applyFont="1" applyFill="1"/>
    <xf numFmtId="2" fontId="3" fillId="14" borderId="0" xfId="0" applyNumberFormat="1" applyFont="1" applyFill="1"/>
    <xf numFmtId="2" fontId="3" fillId="17" borderId="0" xfId="0" applyNumberFormat="1" applyFont="1" applyFill="1"/>
    <xf numFmtId="2" fontId="3" fillId="22" borderId="0" xfId="0" applyNumberFormat="1" applyFont="1" applyFill="1"/>
    <xf numFmtId="2" fontId="3" fillId="19" borderId="0" xfId="0" applyNumberFormat="1" applyFont="1" applyFill="1"/>
    <xf numFmtId="44" fontId="11" fillId="23" borderId="16" xfId="0" applyNumberFormat="1" applyFont="1" applyFill="1" applyBorder="1" applyProtection="1"/>
    <xf numFmtId="44" fontId="11" fillId="23" borderId="16" xfId="1" applyFont="1" applyFill="1" applyBorder="1" applyProtection="1"/>
    <xf numFmtId="0" fontId="0" fillId="0" borderId="0" xfId="0" applyFill="1" applyBorder="1" applyProtection="1"/>
    <xf numFmtId="0" fontId="30" fillId="0" borderId="0" xfId="4" applyFont="1"/>
    <xf numFmtId="0" fontId="31" fillId="6" borderId="21" xfId="4" applyFont="1" applyFill="1" applyBorder="1"/>
    <xf numFmtId="0" fontId="3" fillId="6" borderId="22" xfId="4" applyFill="1" applyBorder="1"/>
    <xf numFmtId="0" fontId="3" fillId="6" borderId="23" xfId="4" applyFill="1" applyBorder="1"/>
    <xf numFmtId="0" fontId="3" fillId="0" borderId="5" xfId="4" applyBorder="1"/>
    <xf numFmtId="0" fontId="11" fillId="0" borderId="5" xfId="4" applyFont="1" applyBorder="1"/>
    <xf numFmtId="0" fontId="23" fillId="0" borderId="26" xfId="4" applyFont="1" applyBorder="1"/>
    <xf numFmtId="0" fontId="23" fillId="0" borderId="16" xfId="4" applyFont="1" applyBorder="1"/>
    <xf numFmtId="0" fontId="23" fillId="0" borderId="27" xfId="4" applyFont="1" applyBorder="1"/>
    <xf numFmtId="0" fontId="32" fillId="8" borderId="5" xfId="4" applyFont="1" applyFill="1" applyBorder="1"/>
    <xf numFmtId="9" fontId="33" fillId="8" borderId="0" xfId="4" applyNumberFormat="1" applyFont="1" applyFill="1"/>
    <xf numFmtId="9" fontId="32" fillId="8" borderId="0" xfId="4" applyNumberFormat="1" applyFont="1" applyFill="1"/>
    <xf numFmtId="43" fontId="32" fillId="8" borderId="9" xfId="5" applyFont="1" applyFill="1" applyBorder="1"/>
    <xf numFmtId="43" fontId="32" fillId="8" borderId="10" xfId="5" applyFont="1" applyFill="1" applyBorder="1"/>
    <xf numFmtId="43" fontId="32" fillId="8" borderId="11" xfId="5" applyFont="1" applyFill="1" applyBorder="1"/>
    <xf numFmtId="0" fontId="3" fillId="0" borderId="9" xfId="4" applyBorder="1"/>
    <xf numFmtId="9" fontId="3" fillId="0" borderId="10" xfId="4" quotePrefix="1" applyNumberFormat="1" applyFont="1" applyBorder="1"/>
    <xf numFmtId="9" fontId="3" fillId="0" borderId="10" xfId="4" applyNumberFormat="1" applyBorder="1"/>
    <xf numFmtId="0" fontId="3" fillId="0" borderId="10" xfId="4" applyBorder="1"/>
    <xf numFmtId="0" fontId="3" fillId="0" borderId="11" xfId="4" applyBorder="1"/>
    <xf numFmtId="0" fontId="3" fillId="0" borderId="0" xfId="4"/>
    <xf numFmtId="0" fontId="11" fillId="0" borderId="0" xfId="4" applyFont="1"/>
    <xf numFmtId="164" fontId="14" fillId="0" borderId="2" xfId="1" applyNumberFormat="1" applyFont="1" applyBorder="1" applyAlignment="1" applyProtection="1">
      <alignment horizontal="center" vertical="top"/>
    </xf>
    <xf numFmtId="0" fontId="0" fillId="0" borderId="11" xfId="0" applyBorder="1" applyProtection="1"/>
    <xf numFmtId="0" fontId="0" fillId="0" borderId="0" xfId="0" applyBorder="1" applyAlignment="1" applyProtection="1">
      <alignment horizontal="center" wrapText="1"/>
    </xf>
    <xf numFmtId="0" fontId="15" fillId="0" borderId="12" xfId="0" applyFont="1" applyBorder="1" applyAlignment="1">
      <alignment horizontal="left"/>
    </xf>
    <xf numFmtId="0" fontId="28" fillId="0" borderId="15" xfId="0" applyFont="1" applyBorder="1"/>
    <xf numFmtId="0" fontId="28" fillId="0" borderId="5" xfId="0" applyFont="1" applyBorder="1"/>
    <xf numFmtId="0" fontId="28" fillId="0" borderId="14" xfId="0" applyFont="1" applyBorder="1" applyAlignment="1">
      <alignment horizontal="right"/>
    </xf>
    <xf numFmtId="0" fontId="28" fillId="0" borderId="14" xfId="0" applyFont="1" applyBorder="1"/>
    <xf numFmtId="44" fontId="15" fillId="6" borderId="16" xfId="0" applyNumberFormat="1" applyFont="1" applyFill="1" applyBorder="1"/>
    <xf numFmtId="0" fontId="2" fillId="0" borderId="2" xfId="0" applyFont="1" applyBorder="1" applyAlignment="1">
      <alignment vertical="center"/>
    </xf>
    <xf numFmtId="0" fontId="2" fillId="0" borderId="0" xfId="0" applyFont="1" applyAlignment="1">
      <alignment vertical="center"/>
    </xf>
    <xf numFmtId="0" fontId="5" fillId="0" borderId="0" xfId="3" applyFont="1" applyAlignment="1">
      <alignment horizontal="left" vertical="center" indent="1"/>
    </xf>
    <xf numFmtId="10" fontId="6" fillId="0" borderId="6" xfId="2" applyNumberFormat="1" applyFont="1" applyBorder="1" applyAlignment="1">
      <alignment horizontal="left" vertical="center"/>
    </xf>
    <xf numFmtId="164" fontId="17" fillId="0" borderId="0" xfId="1" applyNumberFormat="1" applyFont="1"/>
    <xf numFmtId="10" fontId="6" fillId="0" borderId="6" xfId="0" applyNumberFormat="1" applyFont="1" applyBorder="1" applyAlignment="1">
      <alignment horizontal="left" vertical="center"/>
    </xf>
    <xf numFmtId="0" fontId="2" fillId="0" borderId="0" xfId="0" applyFont="1" applyAlignment="1">
      <alignment horizontal="left" vertical="center" indent="1"/>
    </xf>
    <xf numFmtId="0" fontId="1" fillId="0" borderId="0" xfId="0" applyFont="1" applyAlignment="1">
      <alignment horizontal="right" vertical="center"/>
    </xf>
    <xf numFmtId="0" fontId="3" fillId="0" borderId="0" xfId="0" applyFont="1" applyAlignment="1">
      <alignment horizontal="left"/>
    </xf>
    <xf numFmtId="1" fontId="3" fillId="0" borderId="0" xfId="0" applyNumberFormat="1" applyFont="1" applyAlignment="1">
      <alignment horizontal="left"/>
    </xf>
    <xf numFmtId="0" fontId="37" fillId="0" borderId="0" xfId="0" applyFont="1" applyAlignment="1">
      <alignment horizontal="left" indent="1"/>
    </xf>
    <xf numFmtId="1" fontId="2" fillId="0" borderId="0" xfId="0" applyNumberFormat="1" applyFont="1" applyAlignment="1">
      <alignment horizontal="left"/>
    </xf>
    <xf numFmtId="0" fontId="16" fillId="0" borderId="0" xfId="0" applyFont="1" applyAlignment="1">
      <alignment horizontal="left" indent="1"/>
    </xf>
    <xf numFmtId="44" fontId="15" fillId="0" borderId="29" xfId="0" applyNumberFormat="1" applyFont="1" applyFill="1" applyBorder="1"/>
    <xf numFmtId="44" fontId="15" fillId="6" borderId="20" xfId="1" applyFont="1" applyFill="1" applyBorder="1" applyProtection="1"/>
    <xf numFmtId="0" fontId="11" fillId="24" borderId="40" xfId="0" applyFont="1" applyFill="1" applyBorder="1" applyAlignment="1" applyProtection="1">
      <alignment horizontal="left" wrapText="1"/>
    </xf>
    <xf numFmtId="0" fontId="11" fillId="24" borderId="5" xfId="0" applyFont="1" applyFill="1" applyBorder="1" applyAlignment="1" applyProtection="1">
      <alignment horizontal="left" wrapText="1"/>
    </xf>
    <xf numFmtId="10" fontId="2" fillId="2" borderId="2" xfId="2" applyNumberFormat="1" applyFont="1" applyFill="1" applyBorder="1" applyAlignment="1" applyProtection="1">
      <alignment horizontal="left" vertical="center"/>
      <protection locked="0"/>
    </xf>
    <xf numFmtId="10" fontId="2" fillId="2" borderId="0" xfId="2" applyNumberFormat="1" applyFont="1" applyFill="1" applyBorder="1" applyAlignment="1" applyProtection="1">
      <alignment horizontal="left" vertical="center"/>
      <protection locked="0"/>
    </xf>
    <xf numFmtId="0" fontId="27" fillId="5" borderId="4" xfId="0" applyFont="1" applyFill="1" applyBorder="1" applyAlignment="1">
      <alignment horizontal="left" vertical="top" wrapText="1"/>
    </xf>
    <xf numFmtId="0" fontId="27" fillId="5" borderId="0" xfId="0" applyFont="1" applyFill="1" applyBorder="1" applyAlignment="1">
      <alignment horizontal="left" vertical="top" wrapText="1"/>
    </xf>
    <xf numFmtId="0" fontId="36" fillId="10" borderId="16" xfId="0" applyFont="1" applyFill="1" applyBorder="1" applyAlignment="1" applyProtection="1">
      <alignment horizontal="center" vertical="top" wrapText="1"/>
    </xf>
    <xf numFmtId="0" fontId="1" fillId="0" borderId="28"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14" fontId="1" fillId="0" borderId="28" xfId="0" applyNumberFormat="1" applyFont="1" applyFill="1" applyBorder="1" applyAlignment="1" applyProtection="1">
      <alignment horizontal="center" vertical="top" wrapText="1"/>
    </xf>
    <xf numFmtId="14" fontId="1" fillId="0" borderId="29" xfId="0" applyNumberFormat="1" applyFont="1" applyFill="1" applyBorder="1" applyAlignment="1" applyProtection="1">
      <alignment horizontal="center" vertical="top" wrapText="1"/>
    </xf>
    <xf numFmtId="14" fontId="1" fillId="0" borderId="30" xfId="0" applyNumberFormat="1" applyFont="1" applyFill="1" applyBorder="1" applyAlignment="1" applyProtection="1">
      <alignment horizontal="center" vertical="top" wrapText="1"/>
    </xf>
    <xf numFmtId="0" fontId="25" fillId="4" borderId="1" xfId="0" applyFont="1" applyFill="1" applyBorder="1" applyAlignment="1" applyProtection="1">
      <alignment horizontal="center" textRotation="90"/>
    </xf>
    <xf numFmtId="0" fontId="11" fillId="4" borderId="9" xfId="0" applyFont="1" applyFill="1" applyBorder="1" applyAlignment="1" applyProtection="1">
      <alignment horizontal="center" textRotation="90"/>
    </xf>
    <xf numFmtId="0" fontId="9" fillId="0" borderId="5"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36" fillId="18" borderId="28" xfId="0" applyFont="1" applyFill="1" applyBorder="1" applyAlignment="1">
      <alignment horizontal="center" vertical="top" wrapText="1"/>
    </xf>
    <xf numFmtId="0" fontId="36" fillId="18" borderId="29" xfId="0" applyFont="1" applyFill="1" applyBorder="1" applyAlignment="1">
      <alignment horizontal="center" vertical="top" wrapText="1"/>
    </xf>
    <xf numFmtId="0" fontId="36" fillId="18" borderId="30" xfId="0" applyFont="1" applyFill="1" applyBorder="1" applyAlignment="1">
      <alignment horizontal="center" vertical="top" wrapText="1"/>
    </xf>
    <xf numFmtId="0" fontId="41" fillId="12" borderId="29" xfId="0" applyFont="1" applyFill="1" applyBorder="1" applyAlignment="1">
      <alignment horizontal="center"/>
    </xf>
    <xf numFmtId="0" fontId="41" fillId="19" borderId="29" xfId="0" applyFont="1" applyFill="1" applyBorder="1" applyAlignment="1">
      <alignment horizontal="center"/>
    </xf>
    <xf numFmtId="0" fontId="41" fillId="21" borderId="29" xfId="0" applyFont="1" applyFill="1" applyBorder="1" applyAlignment="1">
      <alignment horizontal="center"/>
    </xf>
    <xf numFmtId="0" fontId="40" fillId="14" borderId="29" xfId="0" applyFont="1" applyFill="1" applyBorder="1" applyAlignment="1">
      <alignment horizontal="center"/>
    </xf>
    <xf numFmtId="0" fontId="16" fillId="0" borderId="0" xfId="4" applyFont="1" applyAlignment="1">
      <alignment horizontal="center" wrapText="1"/>
    </xf>
    <xf numFmtId="0" fontId="11" fillId="0" borderId="24" xfId="4" applyFont="1" applyBorder="1" applyAlignment="1">
      <alignment horizontal="center"/>
    </xf>
    <xf numFmtId="0" fontId="11" fillId="0" borderId="20" xfId="4" applyFont="1" applyBorder="1" applyAlignment="1">
      <alignment horizontal="center"/>
    </xf>
    <xf numFmtId="0" fontId="11" fillId="0" borderId="25" xfId="4" applyFont="1" applyBorder="1" applyAlignment="1">
      <alignment horizontal="center"/>
    </xf>
  </cellXfs>
  <cellStyles count="8">
    <cellStyle name="Comma 2" xfId="5" xr:uid="{00000000-0005-0000-0000-000000000000}"/>
    <cellStyle name="Comma 2 2" xfId="7" xr:uid="{00000000-0005-0000-0000-000001000000}"/>
    <cellStyle name="Currency" xfId="1" builtinId="4"/>
    <cellStyle name="Hyperlink" xfId="3" builtinId="8" customBuiltin="1"/>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2" defaultPivotStyle="PivotStyleLight16"/>
  <colors>
    <mruColors>
      <color rgb="FFF17B7B"/>
      <color rgb="FFF7B7B7"/>
      <color rgb="FFDF1717"/>
      <color rgb="FFAC4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illinoisedu-my.sharepoint.com/personal/bprogers_illinois_edu/Documents/Associate%20Director%20-%20Proposals/Templates/Budgets/WORKING%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General"/>
      <sheetName val="State of IL"/>
      <sheetName val="USDA Cap"/>
      <sheetName val="General - Cost Share"/>
      <sheetName val="Research or Instr UIC Component"/>
      <sheetName val="location tool"/>
    </sheetNames>
    <sheetDataSet>
      <sheetData sheetId="0" refreshError="1"/>
      <sheetData sheetId="1" refreshError="1"/>
      <sheetData sheetId="2" refreshError="1"/>
      <sheetData sheetId="3">
        <row r="4">
          <cell r="AE4">
            <v>0.3</v>
          </cell>
        </row>
        <row r="5">
          <cell r="AE5">
            <v>0.22</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bfs.uillinois.edu/government-costing/fringe-benefit-rates/"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www.obfs.uillinois.edu/government-costing/facilities-administrative/" TargetMode="External"/><Relationship Id="rId2" Type="http://schemas.openxmlformats.org/officeDocument/2006/relationships/hyperlink" Target="https://www.obfs.uillinois.edu/government-costing/fringe-benefit-rates/" TargetMode="External"/><Relationship Id="rId1" Type="http://schemas.openxmlformats.org/officeDocument/2006/relationships/hyperlink" Target="https://servicerates.research.illinois.edu/" TargetMode="External"/><Relationship Id="rId6" Type="http://schemas.openxmlformats.org/officeDocument/2006/relationships/hyperlink" Target="https://www.obfs.uillinois.edu/government-costing/facilities-administrative/" TargetMode="External"/><Relationship Id="rId11" Type="http://schemas.openxmlformats.org/officeDocument/2006/relationships/vmlDrawing" Target="../drawings/vmlDrawing1.vml"/><Relationship Id="rId5" Type="http://schemas.openxmlformats.org/officeDocument/2006/relationships/hyperlink" Target="https://www.obfs.uillinois.edu/government-costing/tuition-remission/" TargetMode="External"/><Relationship Id="rId10" Type="http://schemas.openxmlformats.org/officeDocument/2006/relationships/printerSettings" Target="../printerSettings/printerSettings1.bin"/><Relationship Id="rId4" Type="http://schemas.openxmlformats.org/officeDocument/2006/relationships/hyperlink" Target="https://www.obfs.uillinois.edu/government-costing/fringe-benefit-rates/" TargetMode="External"/><Relationship Id="rId9" Type="http://schemas.openxmlformats.org/officeDocument/2006/relationships/hyperlink" Target="https://www.obfs.uillinois.edu/government-costing/fringe-benefit-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X165"/>
  <sheetViews>
    <sheetView showGridLines="0" zoomScale="115" zoomScaleNormal="115" workbookViewId="0">
      <selection activeCell="J7" sqref="J7"/>
    </sheetView>
  </sheetViews>
  <sheetFormatPr defaultColWidth="9.140625" defaultRowHeight="12.75"/>
  <cols>
    <col min="1" max="1" width="4.85546875" style="100" customWidth="1"/>
    <col min="2" max="2" width="15.7109375" style="101" customWidth="1"/>
    <col min="3" max="3" width="7" style="14" customWidth="1"/>
    <col min="4" max="4" width="7.85546875" style="14" customWidth="1"/>
    <col min="5" max="5" width="12.85546875" style="102" customWidth="1"/>
    <col min="6" max="9" width="13.28515625" style="104" customWidth="1"/>
    <col min="10" max="10" width="13.28515625" style="103" customWidth="1"/>
    <col min="11" max="11" width="37" style="6" customWidth="1"/>
    <col min="12" max="12" width="9.140625" style="6" customWidth="1"/>
    <col min="13" max="17" width="9.140625" style="6"/>
    <col min="18" max="18" width="104.85546875" style="6" customWidth="1"/>
    <col min="19" max="24" width="9.140625" style="6"/>
    <col min="25" max="25" width="12" style="6" customWidth="1"/>
    <col min="26" max="16384" width="9.140625" style="6"/>
  </cols>
  <sheetData>
    <row r="1" spans="1:50" ht="12.6" customHeight="1">
      <c r="A1" s="1" t="s">
        <v>0</v>
      </c>
      <c r="B1" s="2"/>
      <c r="C1" s="263" t="s">
        <v>1</v>
      </c>
      <c r="D1" s="263"/>
      <c r="E1" s="263"/>
      <c r="F1" s="3" t="s">
        <v>2</v>
      </c>
      <c r="G1" s="246"/>
      <c r="H1" s="246"/>
      <c r="I1" s="246"/>
      <c r="J1" s="4">
        <f>IF(AND($C$1=$Y$4,$C$2=$Z$3),$Z$4,IF(AND($C$1=$Y$4,$C$2=$AA$3),$AA$4,IF(AND($C$1=$Y$5,$C$2=$Z$3),$Z$5,IF(AND($C$1=$Y$5,$C$2=$AA$3),$AA$5,IF(AND($C$1=$Y$6,$C$2=$Z$3),$Z$6,IF(AND($C$1=$Y$6,$C$2=$AA$3),$AA$6,IF($C$1=$Y$7,$Z$7,IF($C$1=$Y$8,$Z$8,IF(AND($C$1=$Y$9,$C$2=$Z$3),$Z$4,IF(AND($C$1=$Y$9,$C$2=$AA$3),$AA$4,"TBD"))))))))))</f>
        <v>0.58599999999999997</v>
      </c>
      <c r="K1" s="261" t="s">
        <v>169</v>
      </c>
      <c r="M1" s="5"/>
      <c r="N1" s="5"/>
      <c r="O1" s="7"/>
    </row>
    <row r="2" spans="1:50" ht="12.6" customHeight="1">
      <c r="A2" s="8" t="s">
        <v>3</v>
      </c>
      <c r="B2" s="9"/>
      <c r="C2" s="264" t="s">
        <v>4</v>
      </c>
      <c r="D2" s="264"/>
      <c r="E2" s="264"/>
      <c r="F2" s="10" t="s">
        <v>5</v>
      </c>
      <c r="G2" s="9"/>
      <c r="H2" s="9"/>
      <c r="I2" s="9"/>
      <c r="J2" s="11" t="str">
        <f>IF($C$1=$Y$4,$AC$4,IF($C$1=Y5,$AC$4,IF($C$1=Y6,$AC$4, IF($C$1=Y9,$AC$4,IF($C$1=$Y$7,$AC$5,IF($C$1=$Y$8,$AC$5,$AC$4))))))</f>
        <v>MTDC</v>
      </c>
      <c r="K2" s="262"/>
      <c r="M2" s="12"/>
      <c r="N2" s="12"/>
      <c r="O2" s="7"/>
    </row>
    <row r="3" spans="1:50" ht="12.6" customHeight="1">
      <c r="A3" s="8" t="s">
        <v>6</v>
      </c>
      <c r="B3" s="9"/>
      <c r="C3" s="264" t="str">
        <f>IF(OR($C$4=0,$C$4&lt;&gt;$J$1),$AC$5,IF($C$4="TBD","MTDC",$AC$4))</f>
        <v>MTDC</v>
      </c>
      <c r="D3" s="264"/>
      <c r="E3" s="264"/>
      <c r="F3" s="10" t="s">
        <v>7</v>
      </c>
      <c r="G3" s="247"/>
      <c r="H3" s="247"/>
      <c r="I3" s="247"/>
      <c r="J3" s="11">
        <v>0.64</v>
      </c>
      <c r="K3" s="262"/>
      <c r="M3" s="12"/>
      <c r="N3" s="12"/>
      <c r="O3" s="7"/>
      <c r="Y3" s="13"/>
      <c r="Z3" s="6" t="s">
        <v>4</v>
      </c>
      <c r="AA3" s="6" t="s">
        <v>8</v>
      </c>
      <c r="AC3" s="14" t="s">
        <v>9</v>
      </c>
    </row>
    <row r="4" spans="1:50" ht="12" customHeight="1">
      <c r="A4" s="8" t="s">
        <v>10</v>
      </c>
      <c r="B4" s="9"/>
      <c r="C4" s="264">
        <f>$J$1</f>
        <v>0.58599999999999997</v>
      </c>
      <c r="D4" s="264"/>
      <c r="E4" s="264"/>
      <c r="F4" s="10" t="s">
        <v>11</v>
      </c>
      <c r="G4" s="247"/>
      <c r="H4" s="247"/>
      <c r="I4" s="247"/>
      <c r="J4" s="11">
        <v>0.4577</v>
      </c>
      <c r="K4" s="262"/>
      <c r="M4" s="12"/>
      <c r="N4" s="12"/>
      <c r="O4" s="7"/>
      <c r="Y4" t="s">
        <v>1</v>
      </c>
      <c r="Z4" s="15">
        <v>0.58599999999999997</v>
      </c>
      <c r="AA4" s="15">
        <v>0.25900000000000001</v>
      </c>
      <c r="AC4" s="16" t="s">
        <v>12</v>
      </c>
    </row>
    <row r="5" spans="1:50" ht="12" customHeight="1">
      <c r="A5" s="267" t="s">
        <v>90</v>
      </c>
      <c r="B5" s="267"/>
      <c r="C5" s="268"/>
      <c r="D5" s="269"/>
      <c r="E5" s="270"/>
      <c r="F5" s="248" t="s">
        <v>171</v>
      </c>
      <c r="G5" s="247"/>
      <c r="H5" s="247"/>
      <c r="I5" s="247"/>
      <c r="J5" s="249">
        <v>9.7199999999999995E-2</v>
      </c>
      <c r="K5" s="12"/>
      <c r="L5" s="7"/>
      <c r="M5" s="12"/>
      <c r="N5" s="12"/>
      <c r="O5" s="7"/>
      <c r="Y5" t="s">
        <v>13</v>
      </c>
      <c r="Z5" s="15">
        <v>0.44900000000000001</v>
      </c>
      <c r="AA5" s="15">
        <v>0.26</v>
      </c>
      <c r="AC5" s="16" t="s">
        <v>14</v>
      </c>
    </row>
    <row r="6" spans="1:50" ht="11.25" customHeight="1">
      <c r="A6" s="267" t="s">
        <v>115</v>
      </c>
      <c r="B6" s="267"/>
      <c r="C6" s="268"/>
      <c r="D6" s="269"/>
      <c r="E6" s="270"/>
      <c r="F6" s="248" t="s">
        <v>172</v>
      </c>
      <c r="G6" s="250"/>
      <c r="H6" s="250"/>
      <c r="I6" s="250"/>
      <c r="J6" s="249">
        <v>0.17369999999999999</v>
      </c>
      <c r="K6" s="12"/>
      <c r="L6" s="7"/>
      <c r="M6" s="12"/>
      <c r="N6" s="12"/>
      <c r="O6" s="7"/>
      <c r="Y6" t="s">
        <v>16</v>
      </c>
      <c r="Z6" s="15">
        <v>0.317</v>
      </c>
      <c r="AA6" s="15">
        <v>0.217</v>
      </c>
      <c r="AC6" s="16" t="s">
        <v>17</v>
      </c>
    </row>
    <row r="7" spans="1:50" ht="12" customHeight="1">
      <c r="A7" s="267" t="s">
        <v>116</v>
      </c>
      <c r="B7" s="267"/>
      <c r="C7" s="268"/>
      <c r="D7" s="269"/>
      <c r="E7" s="270"/>
      <c r="F7" s="10" t="s">
        <v>15</v>
      </c>
      <c r="G7" s="247"/>
      <c r="H7" s="247"/>
      <c r="I7" s="247"/>
      <c r="J7" s="251">
        <v>1E-4</v>
      </c>
      <c r="K7" s="12"/>
      <c r="M7" s="12"/>
      <c r="N7" s="12"/>
      <c r="O7" s="7"/>
      <c r="Y7" t="s">
        <v>19</v>
      </c>
      <c r="Z7" s="18">
        <v>0</v>
      </c>
      <c r="AA7" s="18"/>
    </row>
    <row r="8" spans="1:50" ht="11.25" customHeight="1">
      <c r="A8" s="267" t="s">
        <v>117</v>
      </c>
      <c r="B8" s="267"/>
      <c r="C8" s="271"/>
      <c r="D8" s="272"/>
      <c r="E8" s="273"/>
      <c r="F8" s="10" t="s">
        <v>18</v>
      </c>
      <c r="G8" s="247"/>
      <c r="H8" s="247"/>
      <c r="I8" s="247"/>
      <c r="J8" s="11">
        <v>7.6600000000000001E-2</v>
      </c>
      <c r="K8" s="12"/>
      <c r="M8" s="12"/>
      <c r="N8" s="12"/>
      <c r="O8" s="7"/>
      <c r="Y8" t="s">
        <v>21</v>
      </c>
      <c r="Z8" s="18">
        <v>0.26</v>
      </c>
      <c r="AA8" s="18"/>
    </row>
    <row r="9" spans="1:50" ht="12" customHeight="1">
      <c r="A9" s="267" t="s">
        <v>118</v>
      </c>
      <c r="B9" s="267"/>
      <c r="C9" s="271"/>
      <c r="D9" s="272"/>
      <c r="E9" s="273"/>
      <c r="F9" s="252" t="s">
        <v>20</v>
      </c>
      <c r="G9" s="247"/>
      <c r="H9" s="247"/>
      <c r="I9" s="247"/>
      <c r="J9" s="20">
        <v>0.03</v>
      </c>
      <c r="K9" s="12"/>
      <c r="M9" s="12"/>
      <c r="N9" s="12"/>
      <c r="O9" s="7"/>
      <c r="Y9" t="s">
        <v>23</v>
      </c>
      <c r="Z9" s="18"/>
      <c r="AA9" s="18"/>
    </row>
    <row r="10" spans="1:50" ht="12" customHeight="1">
      <c r="A10" s="267" t="s">
        <v>119</v>
      </c>
      <c r="B10" s="267"/>
      <c r="C10" s="282" t="str">
        <f>IFERROR(IF(C9="","",IF(C9-C8&lt;=366,1,IF(C9-C8&lt;=732,2,IF(C9-C8&lt;=1098,3,IF(C9-C8&lt;=1464,4,IF(C9-C8&gt;=1465,5,"")))))),"")</f>
        <v/>
      </c>
      <c r="D10" s="283"/>
      <c r="E10" s="284"/>
      <c r="F10" s="252" t="s">
        <v>22</v>
      </c>
      <c r="G10" s="21"/>
      <c r="H10" s="22"/>
      <c r="I10" s="253"/>
      <c r="J10" s="20">
        <v>0.04</v>
      </c>
      <c r="K10" s="12"/>
      <c r="M10" s="12"/>
      <c r="N10" s="12"/>
      <c r="O10" s="7"/>
      <c r="Y10" s="17"/>
      <c r="Z10" s="18"/>
      <c r="AA10" s="18"/>
    </row>
    <row r="11" spans="1:50" ht="9.9499999999999993" customHeight="1">
      <c r="A11" s="276" t="s">
        <v>114</v>
      </c>
      <c r="B11" s="277"/>
      <c r="C11" s="277"/>
      <c r="D11" s="277"/>
      <c r="E11" s="278"/>
      <c r="F11" s="252"/>
      <c r="G11" s="21"/>
      <c r="H11" s="22"/>
      <c r="I11" s="253"/>
      <c r="J11" s="20"/>
      <c r="K11" s="12"/>
      <c r="M11" s="12"/>
      <c r="N11" s="12"/>
      <c r="O11" s="7"/>
      <c r="Y11" s="17"/>
      <c r="Z11" s="18"/>
      <c r="AA11" s="18"/>
    </row>
    <row r="12" spans="1:50" ht="9.9499999999999993" customHeight="1">
      <c r="A12" s="276"/>
      <c r="B12" s="277"/>
      <c r="C12" s="277"/>
      <c r="D12" s="277"/>
      <c r="E12" s="278"/>
      <c r="F12" s="19"/>
      <c r="G12" s="21"/>
      <c r="H12" s="22"/>
      <c r="I12" s="23"/>
      <c r="J12" s="20"/>
      <c r="K12" s="12"/>
      <c r="L12" s="7"/>
      <c r="M12" s="12"/>
      <c r="N12" s="12"/>
      <c r="O12" s="7"/>
      <c r="Y12" s="17"/>
      <c r="Z12" s="18"/>
      <c r="AA12" s="18"/>
    </row>
    <row r="13" spans="1:50" ht="12.95" customHeight="1" thickBot="1">
      <c r="A13" s="279"/>
      <c r="B13" s="280"/>
      <c r="C13" s="280"/>
      <c r="D13" s="280"/>
      <c r="E13" s="281"/>
      <c r="F13" s="7"/>
      <c r="G13" s="7"/>
      <c r="H13" s="7"/>
      <c r="I13" s="7"/>
      <c r="J13" s="238"/>
      <c r="K13" s="12"/>
      <c r="L13" s="239"/>
      <c r="M13" s="12"/>
      <c r="N13" s="12"/>
      <c r="O13" s="7"/>
      <c r="Z13" s="15"/>
      <c r="AA13" s="15"/>
    </row>
    <row r="14" spans="1:50" s="28" customFormat="1" ht="15" customHeight="1">
      <c r="A14" s="24"/>
      <c r="B14" s="25"/>
      <c r="C14" s="25"/>
      <c r="D14" s="25"/>
      <c r="E14" s="26" t="s">
        <v>24</v>
      </c>
      <c r="F14" s="27" t="s">
        <v>25</v>
      </c>
      <c r="G14" s="27" t="s">
        <v>26</v>
      </c>
      <c r="H14" s="27" t="s">
        <v>27</v>
      </c>
      <c r="I14" s="27" t="s">
        <v>28</v>
      </c>
      <c r="J14" s="237" t="s">
        <v>29</v>
      </c>
      <c r="K14" s="7"/>
      <c r="L14" s="7"/>
      <c r="M14" s="7"/>
      <c r="N14" s="7"/>
      <c r="O14" s="7"/>
      <c r="P14" s="6"/>
      <c r="Q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row>
    <row r="15" spans="1:50" s="28" customFormat="1" ht="15" customHeight="1">
      <c r="A15" s="29" t="s">
        <v>30</v>
      </c>
      <c r="B15" s="30" t="s">
        <v>31</v>
      </c>
      <c r="C15" s="31"/>
      <c r="D15" s="31"/>
      <c r="E15" s="31"/>
      <c r="F15" s="31"/>
      <c r="G15" s="31"/>
      <c r="H15" s="31"/>
      <c r="I15" s="31"/>
      <c r="J15" s="32"/>
      <c r="K15" s="6"/>
      <c r="L15" s="6"/>
      <c r="M15" s="6"/>
      <c r="N15" s="6"/>
      <c r="O15" s="6"/>
      <c r="P15" s="6"/>
      <c r="Q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row>
    <row r="16" spans="1:50" ht="12.75" customHeight="1">
      <c r="A16" s="33"/>
      <c r="B16" s="34" t="s">
        <v>32</v>
      </c>
      <c r="C16" s="35" t="s">
        <v>33</v>
      </c>
      <c r="D16" s="36"/>
      <c r="E16" s="37">
        <f>'Itemized Calculators'!B15</f>
        <v>0</v>
      </c>
      <c r="F16" s="38">
        <f>IF($C$10&gt;=2,ROUND(E16*(1+$J$9),0),0)</f>
        <v>0</v>
      </c>
      <c r="G16" s="38">
        <f>IF($C$10&gt;=3,ROUND(F16*(1+$J$9),0),0)</f>
        <v>0</v>
      </c>
      <c r="H16" s="38">
        <f>IF($C$10&gt;=4,ROUND(G16*(1+$J$9),0),0)</f>
        <v>0</v>
      </c>
      <c r="I16" s="38">
        <f>IF($C$10&gt;=5,ROUND(H16*(1+$J$9),0),0)</f>
        <v>0</v>
      </c>
      <c r="J16" s="39">
        <f>SUM(E16:I16)</f>
        <v>0</v>
      </c>
      <c r="K16" s="40"/>
    </row>
    <row r="17" spans="1:50" ht="12.75" customHeight="1">
      <c r="A17" s="29"/>
      <c r="B17" s="142" t="str">
        <f>IF('Itemized Calculators'!B10="","",'Itemized Calculators'!B10)</f>
        <v/>
      </c>
      <c r="C17" s="41" t="s">
        <v>34</v>
      </c>
      <c r="D17" s="42">
        <f>$J$4</f>
        <v>0.4577</v>
      </c>
      <c r="E17" s="43">
        <f>ROUND(E16*$D17,0)</f>
        <v>0</v>
      </c>
      <c r="F17" s="43">
        <f>ROUND(F16*$D17,0)</f>
        <v>0</v>
      </c>
      <c r="G17" s="43">
        <f>ROUND(G16*$D17,0)</f>
        <v>0</v>
      </c>
      <c r="H17" s="43">
        <f>ROUND(H16*$D17,0)</f>
        <v>0</v>
      </c>
      <c r="I17" s="43">
        <f>ROUND(I16*$D17,0)</f>
        <v>0</v>
      </c>
      <c r="J17" s="44">
        <f t="shared" ref="J17:J27" si="0">SUM(E17:I17)</f>
        <v>0</v>
      </c>
      <c r="K17" s="40"/>
    </row>
    <row r="18" spans="1:50" ht="12.75" customHeight="1">
      <c r="A18" s="29"/>
      <c r="B18" s="34" t="s">
        <v>35</v>
      </c>
      <c r="C18" s="35" t="s">
        <v>33</v>
      </c>
      <c r="D18" s="36"/>
      <c r="E18" s="37">
        <f>'Itemized Calculators'!D14</f>
        <v>0</v>
      </c>
      <c r="F18" s="38">
        <f>IF($C$10&gt;=2,ROUND(E18*(1+$J$9),0),0)</f>
        <v>0</v>
      </c>
      <c r="G18" s="38">
        <f>IF($C$10&gt;=3,ROUND(F18*(1+$J$9),0),0)</f>
        <v>0</v>
      </c>
      <c r="H18" s="38">
        <f>IF($C$10&gt;=4,ROUND(G18*(1+$J$9),0),0)</f>
        <v>0</v>
      </c>
      <c r="I18" s="38">
        <f>IF($C$10&gt;=5,ROUND(H18*(1+$J$9),0),0)</f>
        <v>0</v>
      </c>
      <c r="J18" s="39">
        <f t="shared" si="0"/>
        <v>0</v>
      </c>
      <c r="K18" s="40"/>
    </row>
    <row r="19" spans="1:50" ht="12.75" customHeight="1">
      <c r="A19" s="29"/>
      <c r="B19" s="142" t="str">
        <f>IF('Itemized Calculators'!D10="","",'Itemized Calculators'!D10)</f>
        <v/>
      </c>
      <c r="C19" s="41" t="s">
        <v>34</v>
      </c>
      <c r="D19" s="42">
        <f>$J$4</f>
        <v>0.4577</v>
      </c>
      <c r="E19" s="43">
        <f>ROUND(E18*$D19,0)</f>
        <v>0</v>
      </c>
      <c r="F19" s="43">
        <f t="shared" ref="F19:I25" si="1">ROUND(F18*$D19,0)</f>
        <v>0</v>
      </c>
      <c r="G19" s="43">
        <f t="shared" si="1"/>
        <v>0</v>
      </c>
      <c r="H19" s="43">
        <f t="shared" si="1"/>
        <v>0</v>
      </c>
      <c r="I19" s="43">
        <f t="shared" si="1"/>
        <v>0</v>
      </c>
      <c r="J19" s="44">
        <f t="shared" si="0"/>
        <v>0</v>
      </c>
      <c r="K19" s="40"/>
    </row>
    <row r="20" spans="1:50" ht="12.75" customHeight="1">
      <c r="A20" s="29"/>
      <c r="B20" s="34" t="s">
        <v>36</v>
      </c>
      <c r="C20" s="35" t="s">
        <v>33</v>
      </c>
      <c r="D20" s="36"/>
      <c r="E20" s="37">
        <f>'Itemized Calculators'!F14</f>
        <v>0</v>
      </c>
      <c r="F20" s="38">
        <f>IF($C$10&gt;=2,ROUND(E20*(1+$J$9),0),0)</f>
        <v>0</v>
      </c>
      <c r="G20" s="38">
        <f>IF($C$10&gt;=3,ROUND(F20*(1+$J$9),0),0)</f>
        <v>0</v>
      </c>
      <c r="H20" s="38">
        <f>IF($C$10&gt;=4,ROUND(G20*(1+$J$9),0),0)</f>
        <v>0</v>
      </c>
      <c r="I20" s="38">
        <f>IF($C$10&gt;=5,ROUND(H20*(1+$J$9),0),0)</f>
        <v>0</v>
      </c>
      <c r="J20" s="39">
        <f t="shared" ref="J20:J25" si="2">SUM(E20:I20)</f>
        <v>0</v>
      </c>
      <c r="K20" s="40"/>
    </row>
    <row r="21" spans="1:50" ht="12.75" customHeight="1">
      <c r="A21" s="29"/>
      <c r="B21" s="142" t="str">
        <f>IF('Itemized Calculators'!F10="","",'Itemized Calculators'!F10)</f>
        <v/>
      </c>
      <c r="C21" s="41" t="s">
        <v>34</v>
      </c>
      <c r="D21" s="42">
        <f>$J$4</f>
        <v>0.4577</v>
      </c>
      <c r="E21" s="43">
        <f>ROUND(E20*$D21,0)</f>
        <v>0</v>
      </c>
      <c r="F21" s="43">
        <f t="shared" si="1"/>
        <v>0</v>
      </c>
      <c r="G21" s="43">
        <f t="shared" si="1"/>
        <v>0</v>
      </c>
      <c r="H21" s="43">
        <f t="shared" si="1"/>
        <v>0</v>
      </c>
      <c r="I21" s="43">
        <f t="shared" si="1"/>
        <v>0</v>
      </c>
      <c r="J21" s="44">
        <f t="shared" si="2"/>
        <v>0</v>
      </c>
      <c r="K21" s="40"/>
    </row>
    <row r="22" spans="1:50" ht="12.75" customHeight="1">
      <c r="A22" s="29"/>
      <c r="B22" s="34" t="s">
        <v>37</v>
      </c>
      <c r="C22" s="35" t="s">
        <v>33</v>
      </c>
      <c r="D22" s="36"/>
      <c r="E22" s="37">
        <f>'Itemized Calculators'!B21</f>
        <v>0</v>
      </c>
      <c r="F22" s="38">
        <f>IF($C$10&gt;=2,ROUND(E22*(1+$J$9),0),0)</f>
        <v>0</v>
      </c>
      <c r="G22" s="38">
        <f>IF($C$10&gt;=3,ROUND(F22*(1+$J$9),0),0)</f>
        <v>0</v>
      </c>
      <c r="H22" s="38">
        <f>IF($C$10&gt;=4,ROUND(G22*(1+$J$9),0),0)</f>
        <v>0</v>
      </c>
      <c r="I22" s="38">
        <f>IF($C$10&gt;=5,ROUND(H22*(1+$J$9),0),0)</f>
        <v>0</v>
      </c>
      <c r="J22" s="39">
        <f t="shared" si="2"/>
        <v>0</v>
      </c>
      <c r="K22" s="40"/>
    </row>
    <row r="23" spans="1:50" ht="12.75" customHeight="1">
      <c r="A23" s="29"/>
      <c r="B23" s="142" t="str">
        <f>IF('Itemized Calculators'!B17="","",'Itemized Calculators'!B17)</f>
        <v/>
      </c>
      <c r="C23" s="41" t="s">
        <v>34</v>
      </c>
      <c r="D23" s="42">
        <f>$J$4</f>
        <v>0.4577</v>
      </c>
      <c r="E23" s="43">
        <f>ROUND(E22*$D23,0)</f>
        <v>0</v>
      </c>
      <c r="F23" s="43">
        <f t="shared" si="1"/>
        <v>0</v>
      </c>
      <c r="G23" s="43">
        <f t="shared" si="1"/>
        <v>0</v>
      </c>
      <c r="H23" s="43">
        <f t="shared" si="1"/>
        <v>0</v>
      </c>
      <c r="I23" s="43">
        <f t="shared" si="1"/>
        <v>0</v>
      </c>
      <c r="J23" s="44">
        <f t="shared" si="2"/>
        <v>0</v>
      </c>
      <c r="K23" s="40"/>
    </row>
    <row r="24" spans="1:50" ht="12.75" customHeight="1">
      <c r="A24" s="29"/>
      <c r="B24" s="34" t="s">
        <v>38</v>
      </c>
      <c r="C24" s="35" t="s">
        <v>33</v>
      </c>
      <c r="D24" s="36"/>
      <c r="E24" s="37">
        <f>'Itemized Calculators'!D21</f>
        <v>0</v>
      </c>
      <c r="F24" s="38">
        <f>IF($C$10&gt;=2,ROUND(E24*(1+$J$9),0),0)</f>
        <v>0</v>
      </c>
      <c r="G24" s="38">
        <f>IF($C$10&gt;=3,ROUND(F24*(1+$J$9),0),0)</f>
        <v>0</v>
      </c>
      <c r="H24" s="38">
        <f>IF($C$10&gt;=4,ROUND(G24*(1+$J$9),0),0)</f>
        <v>0</v>
      </c>
      <c r="I24" s="38">
        <f>IF($C$10&gt;=5,ROUND(H24*(1+$J$9),0),0)</f>
        <v>0</v>
      </c>
      <c r="J24" s="39">
        <f t="shared" si="2"/>
        <v>0</v>
      </c>
      <c r="K24" s="40"/>
    </row>
    <row r="25" spans="1:50" ht="12.75" customHeight="1">
      <c r="A25" s="29"/>
      <c r="B25" s="142" t="str">
        <f>IF('Itemized Calculators'!D17="","",'Itemized Calculators'!D17)</f>
        <v/>
      </c>
      <c r="C25" s="41" t="s">
        <v>34</v>
      </c>
      <c r="D25" s="42">
        <f>$J$4</f>
        <v>0.4577</v>
      </c>
      <c r="E25" s="43">
        <f>ROUND(E24*$D25,0)</f>
        <v>0</v>
      </c>
      <c r="F25" s="43">
        <f t="shared" si="1"/>
        <v>0</v>
      </c>
      <c r="G25" s="43">
        <f t="shared" si="1"/>
        <v>0</v>
      </c>
      <c r="H25" s="43">
        <f t="shared" si="1"/>
        <v>0</v>
      </c>
      <c r="I25" s="43">
        <f t="shared" si="1"/>
        <v>0</v>
      </c>
      <c r="J25" s="44">
        <f t="shared" si="2"/>
        <v>0</v>
      </c>
      <c r="K25" s="40"/>
    </row>
    <row r="26" spans="1:50" ht="12.75" customHeight="1">
      <c r="A26" s="29"/>
      <c r="B26" s="34" t="s">
        <v>39</v>
      </c>
      <c r="C26" s="35" t="s">
        <v>33</v>
      </c>
      <c r="D26" s="36"/>
      <c r="E26" s="37">
        <f>'Itemized Calculators'!F21</f>
        <v>0</v>
      </c>
      <c r="F26" s="38">
        <f>IF($C$10&gt;=2,ROUND(E26*(1+$J$9),0),0)</f>
        <v>0</v>
      </c>
      <c r="G26" s="38">
        <f>IF($C$10&gt;=3,ROUND(F26*(1+$J$9),0),0)</f>
        <v>0</v>
      </c>
      <c r="H26" s="38">
        <f>IF($C$10&gt;=4,ROUND(G26*(1+$J$9),0),0)</f>
        <v>0</v>
      </c>
      <c r="I26" s="38">
        <f>IF($C$10&gt;=5,ROUND(H26*(1+$J$9),0),0)</f>
        <v>0</v>
      </c>
      <c r="J26" s="39">
        <f t="shared" si="0"/>
        <v>0</v>
      </c>
      <c r="K26" s="40"/>
    </row>
    <row r="27" spans="1:50" ht="12.6" customHeight="1">
      <c r="A27" s="29"/>
      <c r="B27" s="142" t="str">
        <f>IF('Itemized Calculators'!F17="","",'Itemized Calculators'!F17)</f>
        <v/>
      </c>
      <c r="C27" s="45" t="s">
        <v>34</v>
      </c>
      <c r="D27" s="42">
        <f>$J$4</f>
        <v>0.4577</v>
      </c>
      <c r="E27" s="43">
        <f>ROUND(E26*$D27,0)</f>
        <v>0</v>
      </c>
      <c r="F27" s="43">
        <f t="shared" ref="F27:I27" si="3">ROUND(F26*$D27,0)</f>
        <v>0</v>
      </c>
      <c r="G27" s="43">
        <f t="shared" si="3"/>
        <v>0</v>
      </c>
      <c r="H27" s="43">
        <f t="shared" si="3"/>
        <v>0</v>
      </c>
      <c r="I27" s="43">
        <f t="shared" si="3"/>
        <v>0</v>
      </c>
      <c r="J27" s="44">
        <f t="shared" si="0"/>
        <v>0</v>
      </c>
      <c r="K27" s="40"/>
    </row>
    <row r="28" spans="1:50" ht="4.5" customHeight="1">
      <c r="A28" s="29"/>
      <c r="B28" s="46"/>
      <c r="C28" s="47"/>
      <c r="D28" s="48"/>
      <c r="E28" s="49"/>
      <c r="F28" s="49"/>
      <c r="G28" s="49"/>
      <c r="H28" s="49"/>
      <c r="I28" s="49"/>
      <c r="J28" s="39"/>
      <c r="K28" s="40"/>
    </row>
    <row r="29" spans="1:50" ht="12.75" customHeight="1">
      <c r="A29" s="29"/>
      <c r="B29" s="50" t="s">
        <v>40</v>
      </c>
      <c r="C29" s="51" t="s">
        <v>33</v>
      </c>
      <c r="D29" s="48"/>
      <c r="E29" s="49">
        <f t="shared" ref="E29:I30" si="4">SUMIF($C$16:$C$28,$C29,E$16:E$28)</f>
        <v>0</v>
      </c>
      <c r="F29" s="49">
        <f t="shared" si="4"/>
        <v>0</v>
      </c>
      <c r="G29" s="49">
        <f t="shared" si="4"/>
        <v>0</v>
      </c>
      <c r="H29" s="49">
        <f t="shared" si="4"/>
        <v>0</v>
      </c>
      <c r="I29" s="49">
        <f t="shared" si="4"/>
        <v>0</v>
      </c>
      <c r="J29" s="39">
        <f>SUM(E29:I29)</f>
        <v>0</v>
      </c>
      <c r="K29" s="40"/>
    </row>
    <row r="30" spans="1:50" s="14" customFormat="1" ht="12.75" customHeight="1">
      <c r="A30" s="52"/>
      <c r="B30" s="53"/>
      <c r="C30" s="54" t="s">
        <v>34</v>
      </c>
      <c r="D30" s="55"/>
      <c r="E30" s="56">
        <f t="shared" si="4"/>
        <v>0</v>
      </c>
      <c r="F30" s="56">
        <f t="shared" si="4"/>
        <v>0</v>
      </c>
      <c r="G30" s="56">
        <f t="shared" si="4"/>
        <v>0</v>
      </c>
      <c r="H30" s="56">
        <f t="shared" si="4"/>
        <v>0</v>
      </c>
      <c r="I30" s="56">
        <f t="shared" si="4"/>
        <v>0</v>
      </c>
      <c r="J30" s="57">
        <f>SUM(E30:I30)</f>
        <v>0</v>
      </c>
      <c r="K30" s="58"/>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row>
    <row r="31" spans="1:50" s="14" customFormat="1" ht="12.75" customHeight="1">
      <c r="A31" s="52"/>
      <c r="B31" s="53"/>
      <c r="C31" s="51" t="s">
        <v>29</v>
      </c>
      <c r="D31" s="59"/>
      <c r="E31" s="60">
        <f>SUM(E29:E30)</f>
        <v>0</v>
      </c>
      <c r="F31" s="60">
        <f>SUM(F29:F30)</f>
        <v>0</v>
      </c>
      <c r="G31" s="60">
        <f>SUM(G29:G30)</f>
        <v>0</v>
      </c>
      <c r="H31" s="60">
        <f>SUM(H29:H30)</f>
        <v>0</v>
      </c>
      <c r="I31" s="60">
        <f>SUM(I29:I30)</f>
        <v>0</v>
      </c>
      <c r="J31" s="61">
        <f>SUM(E31:I31)</f>
        <v>0</v>
      </c>
      <c r="K31" s="58"/>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row>
    <row r="32" spans="1:50" ht="12.6" customHeight="1">
      <c r="A32" s="29" t="s">
        <v>41</v>
      </c>
      <c r="B32" s="62" t="s">
        <v>42</v>
      </c>
      <c r="C32" s="53"/>
      <c r="D32" s="53"/>
      <c r="E32" s="49"/>
      <c r="F32" s="49"/>
      <c r="G32" s="49"/>
      <c r="H32" s="49"/>
      <c r="I32" s="49"/>
      <c r="J32" s="39"/>
    </row>
    <row r="33" spans="1:11" ht="12.75" customHeight="1">
      <c r="A33" s="29"/>
      <c r="B33" s="254" t="s">
        <v>43</v>
      </c>
      <c r="C33" s="255" t="s">
        <v>33</v>
      </c>
      <c r="D33" s="36"/>
      <c r="E33" s="38">
        <f>'Itemized Calculators'!B27</f>
        <v>0</v>
      </c>
      <c r="F33" s="38">
        <f>IF($C$10&gt;=2,ROUND(E33*(1+$J$9), 0),0)</f>
        <v>0</v>
      </c>
      <c r="G33" s="38">
        <f>IF($C$10&gt;=3,ROUND(F33*(1+$J$9),0),0)</f>
        <v>0</v>
      </c>
      <c r="H33" s="38">
        <f>IF($C$10&gt;=4,ROUND(G33*(1+$J$9),0),0)</f>
        <v>0</v>
      </c>
      <c r="I33" s="38">
        <f>IF($C$10&gt;=5,ROUND(H33*(1+$J$9),0),0)</f>
        <v>0</v>
      </c>
      <c r="J33" s="39">
        <f t="shared" ref="J33:J46" si="5">SUM(E33:I33)</f>
        <v>0</v>
      </c>
    </row>
    <row r="34" spans="1:11" ht="12.75" customHeight="1">
      <c r="A34" s="29"/>
      <c r="B34" s="256" t="s">
        <v>175</v>
      </c>
      <c r="C34" s="257" t="s">
        <v>34</v>
      </c>
      <c r="D34" s="42">
        <f>$J$4</f>
        <v>0.4577</v>
      </c>
      <c r="E34" s="43">
        <f>ROUND(E33*$D34,0)</f>
        <v>0</v>
      </c>
      <c r="F34" s="43">
        <f t="shared" ref="F34:I34" si="6">ROUND(F33*$D34,0)</f>
        <v>0</v>
      </c>
      <c r="G34" s="43">
        <f t="shared" si="6"/>
        <v>0</v>
      </c>
      <c r="H34" s="43">
        <f t="shared" si="6"/>
        <v>0</v>
      </c>
      <c r="I34" s="43">
        <f t="shared" si="6"/>
        <v>0</v>
      </c>
      <c r="J34" s="44">
        <f t="shared" si="5"/>
        <v>0</v>
      </c>
    </row>
    <row r="35" spans="1:11" ht="12.75" customHeight="1">
      <c r="A35" s="29"/>
      <c r="B35" s="254" t="s">
        <v>44</v>
      </c>
      <c r="C35" s="255" t="s">
        <v>33</v>
      </c>
      <c r="D35" s="36"/>
      <c r="E35" s="38">
        <f>'Itemized Calculators'!D27</f>
        <v>0</v>
      </c>
      <c r="F35" s="38">
        <f>IF($C$10&gt;=2,ROUND(E35*(1+$J$9), 0),0)</f>
        <v>0</v>
      </c>
      <c r="G35" s="38">
        <f>IF($C$10&gt;=3,ROUND(F35*(1+$J$9),0),0)</f>
        <v>0</v>
      </c>
      <c r="H35" s="38">
        <f>IF($C$10&gt;=4,ROUND(G35*(1+$J$9),0),0)</f>
        <v>0</v>
      </c>
      <c r="I35" s="38">
        <f>IF($C$10&gt;=5,ROUND(H35*(1+$J$9),0),0)</f>
        <v>0</v>
      </c>
      <c r="J35" s="39">
        <f t="shared" si="5"/>
        <v>0</v>
      </c>
      <c r="K35" s="40"/>
    </row>
    <row r="36" spans="1:11" ht="12.75" customHeight="1">
      <c r="A36" s="29"/>
      <c r="B36" s="256" t="s">
        <v>175</v>
      </c>
      <c r="C36" s="257" t="s">
        <v>34</v>
      </c>
      <c r="D36" s="42">
        <f>$J$4</f>
        <v>0.4577</v>
      </c>
      <c r="E36" s="43">
        <f>ROUND(E35*$D36,0)</f>
        <v>0</v>
      </c>
      <c r="F36" s="43">
        <f t="shared" ref="F36:I36" si="7">ROUND(F35*$D36,0)</f>
        <v>0</v>
      </c>
      <c r="G36" s="43">
        <f t="shared" si="7"/>
        <v>0</v>
      </c>
      <c r="H36" s="43">
        <f t="shared" si="7"/>
        <v>0</v>
      </c>
      <c r="I36" s="43">
        <f t="shared" si="7"/>
        <v>0</v>
      </c>
      <c r="J36" s="44">
        <f t="shared" si="5"/>
        <v>0</v>
      </c>
      <c r="K36" s="40"/>
    </row>
    <row r="37" spans="1:11" ht="12.75" customHeight="1">
      <c r="A37" s="29"/>
      <c r="B37" s="254" t="s">
        <v>45</v>
      </c>
      <c r="C37" s="255" t="s">
        <v>33</v>
      </c>
      <c r="D37" s="36"/>
      <c r="E37" s="37">
        <f>'Itemized Calculators'!D40</f>
        <v>0</v>
      </c>
      <c r="F37" s="38">
        <f>IF($C$10&gt;=2,ROUND(E37*(1+$J$9), 0),0)</f>
        <v>0</v>
      </c>
      <c r="G37" s="38">
        <f>IF($C$10&gt;=3,ROUND(F37*(1+$J$9),0),0)</f>
        <v>0</v>
      </c>
      <c r="H37" s="38">
        <f>IF($C$10&gt;=4,ROUND(G37*(1+$J$9),0),0)</f>
        <v>0</v>
      </c>
      <c r="I37" s="38">
        <f>IF($C$10&gt;=5,ROUND(H37*(1+$J$9),0),0)</f>
        <v>0</v>
      </c>
      <c r="J37" s="39">
        <f>SUM(E37:I37)</f>
        <v>0</v>
      </c>
    </row>
    <row r="38" spans="1:11" ht="12.75" customHeight="1">
      <c r="A38" s="29"/>
      <c r="B38" s="258" t="s">
        <v>173</v>
      </c>
      <c r="C38" s="257" t="s">
        <v>34</v>
      </c>
      <c r="D38" s="42">
        <f>$J$6</f>
        <v>0.17369999999999999</v>
      </c>
      <c r="E38" s="43">
        <f>ROUND(E37*$D38,0)</f>
        <v>0</v>
      </c>
      <c r="F38" s="43">
        <f t="shared" ref="F38:I38" si="8">ROUND(F37*$D38,0)</f>
        <v>0</v>
      </c>
      <c r="G38" s="43">
        <f t="shared" si="8"/>
        <v>0</v>
      </c>
      <c r="H38" s="43">
        <f t="shared" si="8"/>
        <v>0</v>
      </c>
      <c r="I38" s="43">
        <f t="shared" si="8"/>
        <v>0</v>
      </c>
      <c r="J38" s="44">
        <f t="shared" si="5"/>
        <v>0</v>
      </c>
    </row>
    <row r="39" spans="1:11" ht="12.75" customHeight="1">
      <c r="A39" s="29"/>
      <c r="B39" s="254" t="s">
        <v>45</v>
      </c>
      <c r="C39" s="255" t="s">
        <v>33</v>
      </c>
      <c r="D39" s="36"/>
      <c r="E39" s="38">
        <f>'Itemized Calculators'!D34</f>
        <v>0</v>
      </c>
      <c r="F39" s="38">
        <f>IF($C$10&gt;=2,ROUND(E39*(1+$J$9), 0),0)</f>
        <v>0</v>
      </c>
      <c r="G39" s="38">
        <f>IF($C$10&gt;=2,ROUND(F39*(1+$J$9), 0),0)</f>
        <v>0</v>
      </c>
      <c r="H39" s="38">
        <f>IF($C$10&gt;=2,ROUND(G39*(1+$J$9), 0),0)</f>
        <v>0</v>
      </c>
      <c r="I39" s="38">
        <f>IF($C$10&gt;=2,ROUND(H39*(1+$J$9), 0),0)</f>
        <v>0</v>
      </c>
      <c r="J39" s="39">
        <f>SUM(E39:I39)</f>
        <v>0</v>
      </c>
    </row>
    <row r="40" spans="1:11" ht="12.75" customHeight="1">
      <c r="A40" s="29"/>
      <c r="B40" s="258" t="s">
        <v>174</v>
      </c>
      <c r="C40" s="257" t="s">
        <v>34</v>
      </c>
      <c r="D40" s="42">
        <f>$J$5</f>
        <v>9.7199999999999995E-2</v>
      </c>
      <c r="E40" s="43">
        <f>ROUND(E39*$D40,0)</f>
        <v>0</v>
      </c>
      <c r="F40" s="43">
        <f>ROUND(F39*$D40,0)</f>
        <v>0</v>
      </c>
      <c r="G40" s="43">
        <f>ROUND(G39*$D40,0)</f>
        <v>0</v>
      </c>
      <c r="H40" s="43">
        <f t="shared" ref="H40:I40" si="9">ROUND(H39*$D40,0)</f>
        <v>0</v>
      </c>
      <c r="I40" s="43">
        <f t="shared" si="9"/>
        <v>0</v>
      </c>
      <c r="J40" s="44"/>
    </row>
    <row r="41" spans="1:11" ht="12.75" customHeight="1">
      <c r="A41" s="29"/>
      <c r="B41" s="254" t="s">
        <v>46</v>
      </c>
      <c r="C41" s="255" t="s">
        <v>33</v>
      </c>
      <c r="D41" s="36"/>
      <c r="E41" s="38">
        <f>'Itemized Calculators'!F39</f>
        <v>0</v>
      </c>
      <c r="F41" s="38">
        <f>E41</f>
        <v>0</v>
      </c>
      <c r="G41" s="38">
        <f>IF($C$10&gt;=3,F41,0)</f>
        <v>0</v>
      </c>
      <c r="H41" s="38">
        <f>IF($C$10&gt;=4,G41,0)</f>
        <v>0</v>
      </c>
      <c r="I41" s="38">
        <f>IF($C$10&gt;=5,H41,0)</f>
        <v>0</v>
      </c>
      <c r="J41" s="39">
        <f t="shared" si="5"/>
        <v>0</v>
      </c>
    </row>
    <row r="42" spans="1:11" ht="12.75" customHeight="1">
      <c r="A42" s="29"/>
      <c r="B42" s="256" t="s">
        <v>175</v>
      </c>
      <c r="C42" s="257" t="s">
        <v>34</v>
      </c>
      <c r="D42" s="42">
        <f>$J$7</f>
        <v>1E-4</v>
      </c>
      <c r="E42" s="43">
        <f>ROUND(E41*$D42,0)</f>
        <v>0</v>
      </c>
      <c r="F42" s="43">
        <f>ROUND(F41*$D42,0)</f>
        <v>0</v>
      </c>
      <c r="G42" s="43">
        <f t="shared" ref="G42:I42" si="10">ROUND(G41*$D42,0)</f>
        <v>0</v>
      </c>
      <c r="H42" s="43">
        <f t="shared" si="10"/>
        <v>0</v>
      </c>
      <c r="I42" s="43">
        <f t="shared" si="10"/>
        <v>0</v>
      </c>
      <c r="J42" s="44">
        <f t="shared" si="5"/>
        <v>0</v>
      </c>
    </row>
    <row r="43" spans="1:11" ht="12.75" customHeight="1">
      <c r="A43" s="29"/>
      <c r="B43" s="254" t="s">
        <v>47</v>
      </c>
      <c r="C43" s="255" t="s">
        <v>33</v>
      </c>
      <c r="D43" s="36"/>
      <c r="E43" s="38">
        <f>'Itemized Calculators'!F27</f>
        <v>0</v>
      </c>
      <c r="F43" s="38">
        <f>IF($C$10&gt;=2,ROUND(E43*(1+$J$9),0),0)</f>
        <v>0</v>
      </c>
      <c r="G43" s="38">
        <f>IF($C$10&gt;=3,ROUND(F43*(1+$J$9),0),0)</f>
        <v>0</v>
      </c>
      <c r="H43" s="38">
        <f>IF($C$10&gt;=4,ROUND(G43*(1+$J$9),0),0)</f>
        <v>0</v>
      </c>
      <c r="I43" s="38">
        <f>IF($C$10&gt;=5,ROUND(H43*(1+$J$9),0),0)</f>
        <v>0</v>
      </c>
      <c r="J43" s="39">
        <f t="shared" si="5"/>
        <v>0</v>
      </c>
    </row>
    <row r="44" spans="1:11" ht="12.75" customHeight="1">
      <c r="A44" s="29"/>
      <c r="B44" s="256" t="s">
        <v>175</v>
      </c>
      <c r="C44" s="257" t="s">
        <v>34</v>
      </c>
      <c r="D44" s="42">
        <f>$J$4</f>
        <v>0.4577</v>
      </c>
      <c r="E44" s="43">
        <f>ROUND(E43*$D44,0)</f>
        <v>0</v>
      </c>
      <c r="F44" s="43">
        <f t="shared" ref="F44:I44" si="11">ROUND(F43*$D44,0)</f>
        <v>0</v>
      </c>
      <c r="G44" s="43">
        <f t="shared" si="11"/>
        <v>0</v>
      </c>
      <c r="H44" s="43">
        <f t="shared" si="11"/>
        <v>0</v>
      </c>
      <c r="I44" s="43">
        <f t="shared" si="11"/>
        <v>0</v>
      </c>
      <c r="J44" s="44">
        <f t="shared" si="5"/>
        <v>0</v>
      </c>
    </row>
    <row r="45" spans="1:11">
      <c r="A45" s="29"/>
      <c r="B45" s="254" t="s">
        <v>48</v>
      </c>
      <c r="C45" s="255" t="s">
        <v>33</v>
      </c>
      <c r="D45" s="36"/>
      <c r="E45" s="38">
        <f>'Itemized Calculators'!B33</f>
        <v>0</v>
      </c>
      <c r="F45" s="38">
        <f>IF($C$10&gt;=2,ROUND(E45*(1+$J$9), 0),0)</f>
        <v>0</v>
      </c>
      <c r="G45" s="38">
        <f>IF($C$10&gt;=3,ROUND(F45*(1+$J$9),0),0)</f>
        <v>0</v>
      </c>
      <c r="H45" s="38">
        <f>IF($C$10&gt;=4,ROUND(G45*(1+$J$9),0),0)</f>
        <v>0</v>
      </c>
      <c r="I45" s="38">
        <f>IF($C$10&gt;=5,ROUND(H45*(1+$J$9),0),0)</f>
        <v>0</v>
      </c>
      <c r="J45" s="39">
        <f t="shared" si="5"/>
        <v>0</v>
      </c>
    </row>
    <row r="46" spans="1:11">
      <c r="A46" s="29"/>
      <c r="B46" s="256" t="s">
        <v>175</v>
      </c>
      <c r="C46" s="257" t="s">
        <v>34</v>
      </c>
      <c r="D46" s="42">
        <f>$J$8</f>
        <v>7.6600000000000001E-2</v>
      </c>
      <c r="E46" s="43">
        <f>ROUND(E45*$D46,0)</f>
        <v>0</v>
      </c>
      <c r="F46" s="43">
        <f t="shared" ref="F46:I46" si="12">ROUND(F45*$D46,0)</f>
        <v>0</v>
      </c>
      <c r="G46" s="43">
        <f t="shared" si="12"/>
        <v>0</v>
      </c>
      <c r="H46" s="43">
        <f t="shared" si="12"/>
        <v>0</v>
      </c>
      <c r="I46" s="43">
        <f t="shared" si="12"/>
        <v>0</v>
      </c>
      <c r="J46" s="44">
        <f t="shared" si="5"/>
        <v>0</v>
      </c>
    </row>
    <row r="47" spans="1:11" ht="4.5" customHeight="1">
      <c r="A47" s="29"/>
      <c r="B47" s="46"/>
      <c r="C47" s="47"/>
      <c r="D47" s="48"/>
      <c r="E47" s="49"/>
      <c r="F47" s="49"/>
      <c r="G47" s="49"/>
      <c r="H47" s="49"/>
      <c r="I47" s="49"/>
      <c r="J47" s="39"/>
    </row>
    <row r="48" spans="1:11">
      <c r="A48" s="29"/>
      <c r="B48" s="50" t="s">
        <v>40</v>
      </c>
      <c r="C48" s="51" t="s">
        <v>33</v>
      </c>
      <c r="D48" s="63"/>
      <c r="E48" s="49">
        <f>SUMIF($C$33:$C$47,$C48,E33:E47)</f>
        <v>0</v>
      </c>
      <c r="F48" s="49">
        <f>SUMIF($C$33:$C$47,$C48,F33:F47)</f>
        <v>0</v>
      </c>
      <c r="G48" s="49">
        <f>SUMIF($C$33:$C$47,$C48,G33:G47)</f>
        <v>0</v>
      </c>
      <c r="H48" s="49">
        <f>SUMIF($C$33:$C$47,$C48,H33:H47)</f>
        <v>0</v>
      </c>
      <c r="I48" s="49">
        <f>SUMIF($C$33:$C$47,$C48,I33:I47)</f>
        <v>0</v>
      </c>
      <c r="J48" s="39">
        <f>SUM(E48:I48)</f>
        <v>0</v>
      </c>
    </row>
    <row r="49" spans="1:11">
      <c r="A49" s="29"/>
      <c r="B49" s="34"/>
      <c r="C49" s="54" t="s">
        <v>34</v>
      </c>
      <c r="D49" s="64"/>
      <c r="E49" s="56">
        <f>SUMIF($C$33:$C$47,$C49,E33:E47)</f>
        <v>0</v>
      </c>
      <c r="F49" s="56">
        <f>SUMIF($C$33:$C$47,$C49,F33:F47)</f>
        <v>0</v>
      </c>
      <c r="G49" s="56">
        <f>SUMIF($C$33:$C$47,$C49,G33:G47)</f>
        <v>0</v>
      </c>
      <c r="H49" s="56">
        <f>SUMIF($C$33:$C$47,$C49,H33:H47)</f>
        <v>0</v>
      </c>
      <c r="I49" s="56">
        <f>SUMIF($C$33:$C$47,$C49,I33:I47)</f>
        <v>0</v>
      </c>
      <c r="J49" s="57">
        <f>SUM(E49:I49)</f>
        <v>0</v>
      </c>
    </row>
    <row r="50" spans="1:11">
      <c r="A50" s="29"/>
      <c r="B50" s="46"/>
      <c r="C50" s="51" t="s">
        <v>29</v>
      </c>
      <c r="D50" s="59"/>
      <c r="E50" s="60">
        <f>SUM(E48:E49)</f>
        <v>0</v>
      </c>
      <c r="F50" s="60">
        <f>SUM(F48:F49)</f>
        <v>0</v>
      </c>
      <c r="G50" s="60">
        <f>SUM(G48:G49)</f>
        <v>0</v>
      </c>
      <c r="H50" s="60">
        <f>SUM(H48:H49)</f>
        <v>0</v>
      </c>
      <c r="I50" s="60">
        <f>SUM(I48:I49)</f>
        <v>0</v>
      </c>
      <c r="J50" s="61">
        <f>SUM(E50:I50)</f>
        <v>0</v>
      </c>
    </row>
    <row r="51" spans="1:11" ht="4.5" customHeight="1">
      <c r="A51" s="29"/>
      <c r="B51" s="7"/>
      <c r="C51" s="47"/>
      <c r="D51" s="47"/>
      <c r="E51" s="60"/>
      <c r="F51" s="60"/>
      <c r="G51" s="60"/>
      <c r="H51" s="60"/>
      <c r="I51" s="60"/>
      <c r="J51" s="61"/>
    </row>
    <row r="52" spans="1:11">
      <c r="A52" s="29"/>
      <c r="B52" s="46"/>
      <c r="C52" s="51" t="s">
        <v>33</v>
      </c>
      <c r="D52" s="47"/>
      <c r="E52" s="49">
        <f t="shared" ref="E52:I53" si="13">E29+E48</f>
        <v>0</v>
      </c>
      <c r="F52" s="49">
        <f t="shared" si="13"/>
        <v>0</v>
      </c>
      <c r="G52" s="49">
        <f t="shared" si="13"/>
        <v>0</v>
      </c>
      <c r="H52" s="49">
        <f t="shared" si="13"/>
        <v>0</v>
      </c>
      <c r="I52" s="49">
        <f t="shared" si="13"/>
        <v>0</v>
      </c>
      <c r="J52" s="39">
        <f>SUM(E52:I52)</f>
        <v>0</v>
      </c>
    </row>
    <row r="53" spans="1:11">
      <c r="A53" s="29" t="s">
        <v>49</v>
      </c>
      <c r="B53" s="65" t="s">
        <v>50</v>
      </c>
      <c r="C53" s="54" t="s">
        <v>34</v>
      </c>
      <c r="D53" s="55"/>
      <c r="E53" s="56">
        <f t="shared" si="13"/>
        <v>0</v>
      </c>
      <c r="F53" s="56">
        <f t="shared" si="13"/>
        <v>0</v>
      </c>
      <c r="G53" s="56">
        <f t="shared" si="13"/>
        <v>0</v>
      </c>
      <c r="H53" s="56">
        <f t="shared" si="13"/>
        <v>0</v>
      </c>
      <c r="I53" s="56">
        <f t="shared" si="13"/>
        <v>0</v>
      </c>
      <c r="J53" s="57">
        <f>SUM(E53:I53)</f>
        <v>0</v>
      </c>
    </row>
    <row r="54" spans="1:11">
      <c r="A54" s="29"/>
      <c r="B54" s="62" t="s">
        <v>51</v>
      </c>
      <c r="C54" s="51" t="s">
        <v>29</v>
      </c>
      <c r="D54" s="47"/>
      <c r="E54" s="60">
        <f>SUM(E52:E53)</f>
        <v>0</v>
      </c>
      <c r="F54" s="60">
        <f>SUM(F52:F53)</f>
        <v>0</v>
      </c>
      <c r="G54" s="60">
        <f>SUM(G52:G53)</f>
        <v>0</v>
      </c>
      <c r="H54" s="60">
        <f>SUM(H52:H53)</f>
        <v>0</v>
      </c>
      <c r="I54" s="60">
        <f>SUM(I52:I53)</f>
        <v>0</v>
      </c>
      <c r="J54" s="61">
        <f>SUM(E54:I54)</f>
        <v>0</v>
      </c>
    </row>
    <row r="55" spans="1:11" ht="4.5" customHeight="1">
      <c r="A55" s="29"/>
      <c r="B55" s="46"/>
      <c r="C55" s="47"/>
      <c r="D55" s="47"/>
      <c r="E55" s="49"/>
      <c r="F55" s="49"/>
      <c r="G55" s="49"/>
      <c r="H55" s="49"/>
      <c r="I55" s="49"/>
      <c r="J55" s="39"/>
    </row>
    <row r="56" spans="1:11">
      <c r="A56" s="29" t="s">
        <v>52</v>
      </c>
      <c r="B56" s="59" t="s">
        <v>53</v>
      </c>
      <c r="C56" s="34"/>
      <c r="D56" s="47"/>
      <c r="E56" s="66">
        <f>'Itemized Calculators'!D49</f>
        <v>0</v>
      </c>
      <c r="F56" s="66">
        <v>0</v>
      </c>
      <c r="G56" s="66">
        <v>0</v>
      </c>
      <c r="H56" s="66">
        <v>0</v>
      </c>
      <c r="I56" s="66">
        <v>0</v>
      </c>
      <c r="J56" s="39">
        <f>SUM(E56:I56)</f>
        <v>0</v>
      </c>
    </row>
    <row r="57" spans="1:11" ht="5.0999999999999996" customHeight="1">
      <c r="A57" s="29"/>
      <c r="B57" s="46"/>
      <c r="C57" s="47"/>
      <c r="D57" s="47"/>
      <c r="E57" s="67"/>
      <c r="F57" s="67"/>
      <c r="G57" s="67"/>
      <c r="H57" s="67"/>
      <c r="I57" s="67"/>
      <c r="J57" s="39"/>
    </row>
    <row r="58" spans="1:11">
      <c r="A58" s="29" t="s">
        <v>54</v>
      </c>
      <c r="B58" s="47" t="s">
        <v>55</v>
      </c>
      <c r="C58" s="53"/>
      <c r="D58" s="47"/>
      <c r="E58" s="38">
        <f>'Itemized Calculators'!D86</f>
        <v>0</v>
      </c>
      <c r="F58" s="38">
        <f>IF($C$10&gt;=2,E58,0)</f>
        <v>0</v>
      </c>
      <c r="G58" s="38">
        <f>IF($C$10&gt;=3,F58,0)</f>
        <v>0</v>
      </c>
      <c r="H58" s="38">
        <f>IF($C$10&gt;=4,G58,0)</f>
        <v>0</v>
      </c>
      <c r="I58" s="38">
        <f>IF($C$10&gt;=5,H58,0)</f>
        <v>0</v>
      </c>
      <c r="J58" s="39">
        <f>SUM(E58:I58)</f>
        <v>0</v>
      </c>
      <c r="K58" s="68"/>
    </row>
    <row r="59" spans="1:11">
      <c r="A59" s="29"/>
      <c r="B59" s="47" t="s">
        <v>56</v>
      </c>
      <c r="C59" s="53"/>
      <c r="D59" s="47"/>
      <c r="E59" s="38">
        <f>'Itemized Calculators'!D87</f>
        <v>0</v>
      </c>
      <c r="F59" s="38">
        <f>IF($C$10&gt;=2,E59,0)</f>
        <v>0</v>
      </c>
      <c r="G59" s="38">
        <f>IF($C$10&gt;=3,F59,0)</f>
        <v>0</v>
      </c>
      <c r="H59" s="38">
        <f>IF($C$10&gt;=4,G59,0)</f>
        <v>0</v>
      </c>
      <c r="I59" s="38">
        <f>IF($C$10&gt;=5,H59,0)</f>
        <v>0</v>
      </c>
      <c r="J59" s="39">
        <f>SUM(E59:I59)</f>
        <v>0</v>
      </c>
      <c r="K59" s="68"/>
    </row>
    <row r="60" spans="1:11" ht="4.5" customHeight="1">
      <c r="A60" s="29"/>
      <c r="B60" s="46"/>
      <c r="C60" s="47"/>
      <c r="D60" s="47"/>
      <c r="E60" s="49"/>
      <c r="F60" s="49"/>
      <c r="G60" s="49"/>
      <c r="H60" s="49"/>
      <c r="I60" s="49"/>
      <c r="J60" s="39"/>
    </row>
    <row r="61" spans="1:11">
      <c r="A61" s="29" t="s">
        <v>57</v>
      </c>
      <c r="B61" s="62" t="s">
        <v>58</v>
      </c>
      <c r="C61" s="47"/>
      <c r="D61" s="47"/>
      <c r="E61" s="69">
        <f>'Itemized Calculators'!D100</f>
        <v>0</v>
      </c>
      <c r="F61" s="69">
        <f>IF($C$10&gt;=2,E61,0)</f>
        <v>0</v>
      </c>
      <c r="G61" s="69">
        <f>IF($C$10&gt;=3,F61,0)</f>
        <v>0</v>
      </c>
      <c r="H61" s="69">
        <f>IF($C$10&gt;=4,G61,0)</f>
        <v>0</v>
      </c>
      <c r="I61" s="69">
        <f>IF($C$10&gt;=5,H61,0)</f>
        <v>0</v>
      </c>
      <c r="J61" s="39">
        <f>SUM(E61:I61)</f>
        <v>0</v>
      </c>
    </row>
    <row r="62" spans="1:11" ht="4.5" customHeight="1">
      <c r="A62" s="29"/>
      <c r="B62" s="46"/>
      <c r="C62" s="47"/>
      <c r="D62" s="47"/>
      <c r="E62" s="49"/>
      <c r="F62" s="49"/>
      <c r="G62" s="49"/>
      <c r="H62" s="49"/>
      <c r="I62" s="49"/>
      <c r="J62" s="39"/>
    </row>
    <row r="63" spans="1:11" ht="12.95" customHeight="1">
      <c r="A63" s="29" t="s">
        <v>59</v>
      </c>
      <c r="B63" s="70" t="s">
        <v>60</v>
      </c>
      <c r="C63" s="47"/>
      <c r="D63" s="47"/>
      <c r="E63" s="49"/>
      <c r="F63" s="49"/>
      <c r="G63" s="49"/>
      <c r="H63" s="49"/>
      <c r="I63" s="49"/>
      <c r="J63" s="39"/>
    </row>
    <row r="64" spans="1:11">
      <c r="A64" s="33"/>
      <c r="B64" s="47" t="s">
        <v>61</v>
      </c>
      <c r="C64" s="47"/>
      <c r="D64" s="47"/>
      <c r="E64" s="38">
        <f>'Itemized Calculators'!D113</f>
        <v>0</v>
      </c>
      <c r="F64" s="38">
        <f>IF($C$10&gt;=2,E64,0)</f>
        <v>0</v>
      </c>
      <c r="G64" s="38">
        <f>IF($C$10&gt;=3,F64,0)</f>
        <v>0</v>
      </c>
      <c r="H64" s="38">
        <f>IF($C$10&gt;=4,G64,0)</f>
        <v>0</v>
      </c>
      <c r="I64" s="38">
        <f>IF($C$10&gt;=5,H64,0)</f>
        <v>0</v>
      </c>
      <c r="J64" s="39">
        <f t="shared" ref="J64:J86" si="14">SUM(E64:I64)</f>
        <v>0</v>
      </c>
    </row>
    <row r="65" spans="1:12">
      <c r="A65" s="29"/>
      <c r="B65" s="47" t="s">
        <v>62</v>
      </c>
      <c r="C65" s="47"/>
      <c r="D65" s="47"/>
      <c r="E65" s="38">
        <f>'Itemized Calculators'!D119</f>
        <v>0</v>
      </c>
      <c r="F65" s="38">
        <f>IF($C$10&gt;=2,E65,0)</f>
        <v>0</v>
      </c>
      <c r="G65" s="38">
        <f>IF($C$10&gt;=3,F65,0)</f>
        <v>0</v>
      </c>
      <c r="H65" s="38">
        <f>IF($C$10&gt;=4,G65,0)</f>
        <v>0</v>
      </c>
      <c r="I65" s="38">
        <f>IF($C$10&gt;=5,H65,0)</f>
        <v>0</v>
      </c>
      <c r="J65" s="39">
        <f t="shared" si="14"/>
        <v>0</v>
      </c>
    </row>
    <row r="66" spans="1:12">
      <c r="A66" s="29"/>
      <c r="B66" s="47" t="s">
        <v>63</v>
      </c>
      <c r="C66" s="47"/>
      <c r="D66" s="47"/>
      <c r="E66" s="38">
        <v>0</v>
      </c>
      <c r="F66" s="38">
        <f>IF($C$10&gt;=2,ROUND(E66*(1+$J$9),0),0)</f>
        <v>0</v>
      </c>
      <c r="G66" s="38">
        <f>IF($C$10&gt;=3,ROUND(F66*(1+$J$9),0),0)</f>
        <v>0</v>
      </c>
      <c r="H66" s="38">
        <f>IF($C$10&gt;=4,ROUND(G66*(1+$J$9),0),0)</f>
        <v>0</v>
      </c>
      <c r="I66" s="38">
        <f>IF($C$10&gt;=5,ROUND(H66*(1+$J$9),0),0)</f>
        <v>0</v>
      </c>
      <c r="J66" s="39">
        <f t="shared" si="14"/>
        <v>0</v>
      </c>
    </row>
    <row r="67" spans="1:12">
      <c r="A67" s="29"/>
      <c r="B67" s="47" t="s">
        <v>64</v>
      </c>
      <c r="C67" s="47"/>
      <c r="D67" s="47"/>
      <c r="E67" s="38">
        <v>0</v>
      </c>
      <c r="F67" s="38">
        <f>IF($C$10&gt;=2,ROUND(E67*(1+$J$9),0),0)</f>
        <v>0</v>
      </c>
      <c r="G67" s="38">
        <f>IF($C$10&gt;=3,ROUND(F67*(1+$J$9),0),0)</f>
        <v>0</v>
      </c>
      <c r="H67" s="38">
        <f>IF($C$10&gt;=4,ROUND(G67*(1+$J$9),0),0)</f>
        <v>0</v>
      </c>
      <c r="I67" s="38">
        <f>IF($C$10&gt;=5,ROUND(H67*(1+$J$9),0),0)</f>
        <v>0</v>
      </c>
      <c r="J67" s="39">
        <f t="shared" si="14"/>
        <v>0</v>
      </c>
      <c r="L67" s="14"/>
    </row>
    <row r="68" spans="1:12">
      <c r="A68" s="29"/>
      <c r="B68" s="71" t="s">
        <v>65</v>
      </c>
      <c r="C68" s="47"/>
      <c r="D68" s="47"/>
      <c r="E68" s="69">
        <v>0</v>
      </c>
      <c r="F68" s="69">
        <f>IF($C$10&gt;=2,E68*(1+$J$9),0)</f>
        <v>0</v>
      </c>
      <c r="G68" s="69">
        <f>IF($C$10&gt;=3,F68*(1+$J$9),0)</f>
        <v>0</v>
      </c>
      <c r="H68" s="69">
        <f>IF($C$10&gt;=4,G68*(1+$J$9),0)</f>
        <v>0</v>
      </c>
      <c r="I68" s="69">
        <f>IF($C$10&gt;=5,H68*(1+$J$9),0)</f>
        <v>0</v>
      </c>
      <c r="J68" s="39">
        <f>SUM(E68:I68)</f>
        <v>0</v>
      </c>
      <c r="L68" s="14"/>
    </row>
    <row r="69" spans="1:12">
      <c r="A69" s="29"/>
      <c r="B69" s="47" t="s">
        <v>66</v>
      </c>
      <c r="C69" s="35">
        <v>1</v>
      </c>
      <c r="D69" s="47"/>
      <c r="E69" s="72">
        <v>0</v>
      </c>
      <c r="F69" s="38">
        <v>0</v>
      </c>
      <c r="G69" s="38">
        <v>0</v>
      </c>
      <c r="H69" s="38">
        <v>0</v>
      </c>
      <c r="I69" s="38">
        <v>0</v>
      </c>
      <c r="J69" s="39">
        <f t="shared" si="14"/>
        <v>0</v>
      </c>
      <c r="L69" s="73"/>
    </row>
    <row r="70" spans="1:12">
      <c r="A70" s="29"/>
      <c r="B70" s="71" t="s">
        <v>67</v>
      </c>
      <c r="C70" s="47"/>
      <c r="D70" s="47"/>
      <c r="E70" s="66">
        <v>0</v>
      </c>
      <c r="F70" s="69">
        <v>0</v>
      </c>
      <c r="G70" s="69">
        <v>0</v>
      </c>
      <c r="H70" s="69">
        <v>0</v>
      </c>
      <c r="I70" s="69">
        <v>0</v>
      </c>
      <c r="J70" s="39">
        <f t="shared" si="14"/>
        <v>0</v>
      </c>
      <c r="L70" s="73"/>
    </row>
    <row r="71" spans="1:12">
      <c r="A71" s="29"/>
      <c r="B71" s="47" t="s">
        <v>68</v>
      </c>
      <c r="C71" s="35">
        <v>2</v>
      </c>
      <c r="D71" s="47"/>
      <c r="E71" s="72">
        <v>0</v>
      </c>
      <c r="F71" s="38">
        <v>0</v>
      </c>
      <c r="G71" s="38">
        <v>0</v>
      </c>
      <c r="H71" s="38">
        <v>0</v>
      </c>
      <c r="I71" s="38">
        <v>0</v>
      </c>
      <c r="J71" s="39">
        <f t="shared" ref="J71:J72" si="15">SUM(E71:I71)</f>
        <v>0</v>
      </c>
      <c r="L71" s="73"/>
    </row>
    <row r="72" spans="1:12">
      <c r="A72" s="29"/>
      <c r="B72" s="71" t="s">
        <v>67</v>
      </c>
      <c r="C72" s="47"/>
      <c r="D72" s="47"/>
      <c r="E72" s="66">
        <v>0</v>
      </c>
      <c r="F72" s="69">
        <v>0</v>
      </c>
      <c r="G72" s="69">
        <v>0</v>
      </c>
      <c r="H72" s="69">
        <v>0</v>
      </c>
      <c r="I72" s="69">
        <v>0</v>
      </c>
      <c r="J72" s="39">
        <f t="shared" si="15"/>
        <v>0</v>
      </c>
      <c r="L72" s="73"/>
    </row>
    <row r="73" spans="1:12">
      <c r="A73" s="29"/>
      <c r="B73" s="47" t="s">
        <v>17</v>
      </c>
      <c r="C73" s="47"/>
      <c r="D73" s="47"/>
      <c r="E73" s="38"/>
      <c r="F73" s="72"/>
      <c r="G73" s="72"/>
      <c r="H73" s="72"/>
      <c r="I73" s="72"/>
      <c r="J73" s="39"/>
    </row>
    <row r="74" spans="1:12">
      <c r="A74" s="29"/>
      <c r="B74" s="71" t="s">
        <v>69</v>
      </c>
      <c r="C74" s="47"/>
      <c r="D74" s="47"/>
      <c r="E74" s="69">
        <f>ROUND(SUMIF($B33:$B46,$B$37,E33:E46)*$J$3,0)</f>
        <v>0</v>
      </c>
      <c r="F74" s="69">
        <f>IF($C$10&gt;=2,ROUND(SUMIF($B33:$B46,$B$37,F33:F46)*$J$3,0),0)</f>
        <v>0</v>
      </c>
      <c r="G74" s="69">
        <f>IF($C$10&gt;=3,ROUND(SUMIF($B33:$B46,$B$37,G33:G46)*$J$3,0),0)</f>
        <v>0</v>
      </c>
      <c r="H74" s="69">
        <f>IF($C$10&gt;=4,ROUND(SUMIF($B33:$B46,$B$37,H33:H46)*$J$3,0),0)</f>
        <v>0</v>
      </c>
      <c r="I74" s="69">
        <f>IF($C$10&gt;=5,ROUND(SUMIF($B33:$B46,$B$37,I33:I46)*$J$3,0),0)</f>
        <v>0</v>
      </c>
      <c r="J74" s="39">
        <f t="shared" ref="J74:J85" si="16">SUM(E74:I74)</f>
        <v>0</v>
      </c>
    </row>
    <row r="75" spans="1:12">
      <c r="A75" s="29"/>
      <c r="B75" s="71" t="s">
        <v>70</v>
      </c>
      <c r="C75" s="47"/>
      <c r="D75" s="47"/>
      <c r="E75" s="72">
        <f>'Itemized Calculators'!D125</f>
        <v>0</v>
      </c>
      <c r="F75" s="72">
        <f>IF($C$10&gt;=2,E75,0)</f>
        <v>0</v>
      </c>
      <c r="G75" s="72">
        <f>IF($C$10&gt;=3,F75,0)</f>
        <v>0</v>
      </c>
      <c r="H75" s="72">
        <f>IF($C$10&gt;=4,G75,0)</f>
        <v>0</v>
      </c>
      <c r="I75" s="72">
        <f>IF($C$10&gt;=5,H75,0)</f>
        <v>0</v>
      </c>
      <c r="J75" s="39">
        <f t="shared" si="16"/>
        <v>0</v>
      </c>
      <c r="L75" s="14"/>
    </row>
    <row r="76" spans="1:12">
      <c r="A76" s="29"/>
      <c r="B76" s="71" t="s">
        <v>71</v>
      </c>
      <c r="C76" s="47"/>
      <c r="D76" s="47"/>
      <c r="E76" s="72">
        <v>0</v>
      </c>
      <c r="F76" s="72">
        <v>0</v>
      </c>
      <c r="G76" s="72">
        <v>0</v>
      </c>
      <c r="H76" s="72">
        <v>0</v>
      </c>
      <c r="I76" s="72">
        <v>0</v>
      </c>
      <c r="J76" s="39">
        <f t="shared" si="16"/>
        <v>0</v>
      </c>
      <c r="L76" s="14"/>
    </row>
    <row r="77" spans="1:12">
      <c r="A77" s="29"/>
      <c r="B77" s="71" t="s">
        <v>72</v>
      </c>
      <c r="C77" s="47"/>
      <c r="D77" s="47"/>
      <c r="E77" s="72">
        <v>0</v>
      </c>
      <c r="F77" s="72">
        <v>0</v>
      </c>
      <c r="G77" s="72">
        <v>0</v>
      </c>
      <c r="H77" s="72">
        <v>0</v>
      </c>
      <c r="I77" s="72">
        <v>0</v>
      </c>
      <c r="J77" s="39">
        <f>SUM(E77:I77)</f>
        <v>0</v>
      </c>
    </row>
    <row r="78" spans="1:12">
      <c r="A78" s="29"/>
      <c r="B78" s="71" t="s">
        <v>73</v>
      </c>
      <c r="C78" s="47"/>
      <c r="D78" s="47"/>
      <c r="E78" s="72">
        <f>'Itemized Calculators'!D131</f>
        <v>0</v>
      </c>
      <c r="F78" s="72">
        <f>IF($C$10&gt;=2,E78,0)</f>
        <v>0</v>
      </c>
      <c r="G78" s="72">
        <f>IF($C$10&gt;=3,F78,0)</f>
        <v>0</v>
      </c>
      <c r="H78" s="72">
        <f>IF($C$10&gt;=4,G78,0)</f>
        <v>0</v>
      </c>
      <c r="I78" s="72">
        <f>IF($C$10&gt;=5,H78,0)</f>
        <v>0</v>
      </c>
      <c r="J78" s="39">
        <f t="shared" si="16"/>
        <v>0</v>
      </c>
    </row>
    <row r="79" spans="1:12">
      <c r="A79" s="29"/>
      <c r="B79" s="74" t="s">
        <v>74</v>
      </c>
      <c r="C79" s="47"/>
      <c r="D79" s="47"/>
      <c r="E79" s="72">
        <v>0</v>
      </c>
      <c r="F79" s="72">
        <v>0</v>
      </c>
      <c r="G79" s="72">
        <v>0</v>
      </c>
      <c r="H79" s="72">
        <v>0</v>
      </c>
      <c r="I79" s="72">
        <v>0</v>
      </c>
      <c r="J79" s="39">
        <f t="shared" si="16"/>
        <v>0</v>
      </c>
    </row>
    <row r="80" spans="1:12">
      <c r="A80" s="29"/>
      <c r="B80" s="71" t="s">
        <v>75</v>
      </c>
      <c r="C80" s="47"/>
      <c r="D80" s="47"/>
      <c r="E80" s="72">
        <v>0</v>
      </c>
      <c r="F80" s="72">
        <v>0</v>
      </c>
      <c r="G80" s="72">
        <v>0</v>
      </c>
      <c r="H80" s="72">
        <v>0</v>
      </c>
      <c r="I80" s="72">
        <v>0</v>
      </c>
      <c r="J80" s="39">
        <f t="shared" si="16"/>
        <v>0</v>
      </c>
      <c r="L80" s="14"/>
    </row>
    <row r="81" spans="1:12">
      <c r="A81" s="29"/>
      <c r="B81" s="71" t="s">
        <v>76</v>
      </c>
      <c r="C81" s="47"/>
      <c r="D81" s="47"/>
      <c r="E81" s="72">
        <v>0</v>
      </c>
      <c r="F81" s="72">
        <v>0</v>
      </c>
      <c r="G81" s="72">
        <v>0</v>
      </c>
      <c r="H81" s="72">
        <v>0</v>
      </c>
      <c r="I81" s="72">
        <v>0</v>
      </c>
      <c r="J81" s="39">
        <f t="shared" si="16"/>
        <v>0</v>
      </c>
      <c r="L81" s="14"/>
    </row>
    <row r="82" spans="1:12">
      <c r="A82" s="29"/>
      <c r="B82" s="71" t="s">
        <v>77</v>
      </c>
      <c r="C82" s="47"/>
      <c r="D82" s="47"/>
      <c r="E82" s="72">
        <v>0</v>
      </c>
      <c r="F82" s="72">
        <v>0</v>
      </c>
      <c r="G82" s="72">
        <v>0</v>
      </c>
      <c r="H82" s="72">
        <v>0</v>
      </c>
      <c r="I82" s="72">
        <v>0</v>
      </c>
      <c r="J82" s="39">
        <f t="shared" si="16"/>
        <v>0</v>
      </c>
      <c r="L82" s="14"/>
    </row>
    <row r="83" spans="1:12">
      <c r="A83" s="29"/>
      <c r="B83" s="71" t="s">
        <v>78</v>
      </c>
      <c r="C83" s="47"/>
      <c r="D83" s="47"/>
      <c r="E83" s="72">
        <v>0</v>
      </c>
      <c r="F83" s="72">
        <v>0</v>
      </c>
      <c r="G83" s="72">
        <v>0</v>
      </c>
      <c r="H83" s="72">
        <v>0</v>
      </c>
      <c r="I83" s="72">
        <v>0</v>
      </c>
      <c r="J83" s="39">
        <f t="shared" si="16"/>
        <v>0</v>
      </c>
      <c r="L83" s="14"/>
    </row>
    <row r="84" spans="1:12">
      <c r="A84" s="29"/>
      <c r="B84" s="75" t="s">
        <v>17</v>
      </c>
      <c r="C84" s="76"/>
      <c r="D84" s="76"/>
      <c r="E84" s="77">
        <v>0</v>
      </c>
      <c r="F84" s="78">
        <v>0</v>
      </c>
      <c r="G84" s="78">
        <v>0</v>
      </c>
      <c r="H84" s="78">
        <v>0</v>
      </c>
      <c r="I84" s="78">
        <v>0</v>
      </c>
      <c r="J84" s="79">
        <f>SUM(E84:I84)</f>
        <v>0</v>
      </c>
      <c r="L84" s="14"/>
    </row>
    <row r="85" spans="1:12">
      <c r="A85" s="29"/>
      <c r="B85" s="80" t="s">
        <v>79</v>
      </c>
      <c r="C85" s="59"/>
      <c r="D85" s="59"/>
      <c r="E85" s="81">
        <f>SUM(E74:E84)</f>
        <v>0</v>
      </c>
      <c r="F85" s="81">
        <f t="shared" ref="F85:I85" si="17">SUM(F74:F84)</f>
        <v>0</v>
      </c>
      <c r="G85" s="81">
        <f t="shared" si="17"/>
        <v>0</v>
      </c>
      <c r="H85" s="81">
        <f t="shared" si="17"/>
        <v>0</v>
      </c>
      <c r="I85" s="81">
        <f t="shared" si="17"/>
        <v>0</v>
      </c>
      <c r="J85" s="61">
        <f t="shared" si="16"/>
        <v>0</v>
      </c>
      <c r="L85" s="14"/>
    </row>
    <row r="86" spans="1:12">
      <c r="A86" s="29"/>
      <c r="B86" s="51" t="s">
        <v>80</v>
      </c>
      <c r="C86" s="59"/>
      <c r="D86" s="47"/>
      <c r="E86" s="60">
        <f>SUM(E64:E84)</f>
        <v>0</v>
      </c>
      <c r="F86" s="60">
        <f>SUM(F64:F84)</f>
        <v>0</v>
      </c>
      <c r="G86" s="60">
        <f>SUM(G64:G84)</f>
        <v>0</v>
      </c>
      <c r="H86" s="60">
        <f>SUM(H64:H84)</f>
        <v>0</v>
      </c>
      <c r="I86" s="60">
        <f>SUM(I64:I84)</f>
        <v>0</v>
      </c>
      <c r="J86" s="61">
        <f t="shared" si="14"/>
        <v>0</v>
      </c>
    </row>
    <row r="87" spans="1:12" ht="4.5" customHeight="1">
      <c r="A87" s="29"/>
      <c r="B87" s="46"/>
      <c r="C87" s="47"/>
      <c r="D87" s="47"/>
      <c r="E87" s="49"/>
      <c r="F87" s="49"/>
      <c r="G87" s="49"/>
      <c r="H87" s="49"/>
      <c r="I87" s="49"/>
      <c r="J87" s="39"/>
    </row>
    <row r="88" spans="1:12">
      <c r="A88" s="29" t="s">
        <v>81</v>
      </c>
      <c r="B88" s="59" t="s">
        <v>82</v>
      </c>
      <c r="C88" s="53"/>
      <c r="D88" s="47"/>
      <c r="E88" s="82">
        <f>E54+E56+E58+E59+E61+E86</f>
        <v>0</v>
      </c>
      <c r="F88" s="82">
        <f>F54+F56+F58+F59+F61+F86</f>
        <v>0</v>
      </c>
      <c r="G88" s="82">
        <f>G54+G56+G58+G59+G61+G86</f>
        <v>0</v>
      </c>
      <c r="H88" s="82">
        <f>H54+H56+H58+H59+H61+H86</f>
        <v>0</v>
      </c>
      <c r="I88" s="82">
        <f>I54+I56+I58+I59+I61+I86</f>
        <v>0</v>
      </c>
      <c r="J88" s="61">
        <f>SUM(E88:I88)</f>
        <v>0</v>
      </c>
    </row>
    <row r="89" spans="1:12">
      <c r="A89" s="29"/>
      <c r="B89" s="83" t="str">
        <f>IF($C$3="","",IF($C$3=AC4,"MTDC Base Cost",IF($C$3=AC5,"TDC Base Cost","Other Base Cost")))</f>
        <v>MTDC Base Cost</v>
      </c>
      <c r="C89" s="84"/>
      <c r="D89" s="84"/>
      <c r="E89" s="85">
        <f>IF($C$3="",0,IF($C$3=$AC$4,E88-E56-E61-SUMIF($B$64:$B$84,$B$70,E64:E84)-E74-E68,E88-E74))</f>
        <v>0</v>
      </c>
      <c r="F89" s="85">
        <f>IF($C$3="",0,IF($C$3=$AC$4,F88-F56-F61-SUMIF($B$64:$B$84,$B$70,F64:F84)-F74-F68,F88-F74))</f>
        <v>0</v>
      </c>
      <c r="G89" s="85">
        <f>IF($C$3="",0,IF($C$3=$AC$4,G88-G56-G61-SUMIF($B$64:$B$84,$B$70,G64:G84)-G74-G68,G88-G74))</f>
        <v>0</v>
      </c>
      <c r="H89" s="85">
        <f>IF($C$3="",0,IF($C$3=$AC$4,H88-H56-H61-SUMIF($B$64:$B$84,$B$70,H64:H84)-H74-H68,H88-H74))</f>
        <v>0</v>
      </c>
      <c r="I89" s="85">
        <f>IF($C$3="",0,IF($C$3=$AC$4,I88-I56-I61-SUMIF($B$64:$B$84,$B$70,I64:I84)-I74-I68,I88-I74))</f>
        <v>0</v>
      </c>
      <c r="J89" s="86">
        <f>SUM(E89:I89)</f>
        <v>0</v>
      </c>
    </row>
    <row r="90" spans="1:12" ht="4.5" customHeight="1">
      <c r="A90" s="29"/>
      <c r="B90" s="46"/>
      <c r="C90" s="84"/>
      <c r="D90" s="84"/>
      <c r="E90" s="85"/>
      <c r="F90" s="85"/>
      <c r="G90" s="85"/>
      <c r="H90" s="85"/>
      <c r="I90" s="85"/>
      <c r="J90" s="86"/>
    </row>
    <row r="91" spans="1:12">
      <c r="A91" s="29" t="s">
        <v>83</v>
      </c>
      <c r="B91" s="59" t="s">
        <v>84</v>
      </c>
      <c r="C91" s="53"/>
      <c r="D91" s="47"/>
      <c r="E91" s="82" t="str">
        <f>IF($C$4="TBD","TBD",IF(E88=0,"TBD",ROUND($C$4*E89,0)))</f>
        <v>TBD</v>
      </c>
      <c r="F91" s="82" t="str">
        <f t="shared" ref="F91:I91" si="18">IF($C$4="TBD","TBD",IF(F88=0,"TBD",ROUND($C$4*F89,0)))</f>
        <v>TBD</v>
      </c>
      <c r="G91" s="82" t="str">
        <f t="shared" si="18"/>
        <v>TBD</v>
      </c>
      <c r="H91" s="82" t="str">
        <f t="shared" si="18"/>
        <v>TBD</v>
      </c>
      <c r="I91" s="82" t="str">
        <f t="shared" si="18"/>
        <v>TBD</v>
      </c>
      <c r="J91" s="61">
        <f>SUM(E91:I91)</f>
        <v>0</v>
      </c>
    </row>
    <row r="92" spans="1:12" ht="4.5" customHeight="1">
      <c r="A92" s="29"/>
      <c r="B92" s="46"/>
      <c r="C92" s="47"/>
      <c r="D92" s="47"/>
      <c r="E92" s="49"/>
      <c r="F92" s="49"/>
      <c r="G92" s="49"/>
      <c r="H92" s="49"/>
      <c r="I92" s="49"/>
      <c r="J92" s="39"/>
    </row>
    <row r="93" spans="1:12" ht="13.5" thickBot="1">
      <c r="A93" s="87" t="s">
        <v>85</v>
      </c>
      <c r="B93" s="88" t="s">
        <v>86</v>
      </c>
      <c r="C93" s="89"/>
      <c r="D93" s="89"/>
      <c r="E93" s="90" t="str">
        <f>IF($C$4="TBD","TBD",IF(E88=0,"TBD",E91+E88))</f>
        <v>TBD</v>
      </c>
      <c r="F93" s="90" t="str">
        <f t="shared" ref="F93:I93" si="19">IF($C$4="TBD","TBD",IF(F88=0,"TBD",F91+F88))</f>
        <v>TBD</v>
      </c>
      <c r="G93" s="90" t="str">
        <f t="shared" si="19"/>
        <v>TBD</v>
      </c>
      <c r="H93" s="90" t="str">
        <f t="shared" si="19"/>
        <v>TBD</v>
      </c>
      <c r="I93" s="90" t="str">
        <f t="shared" si="19"/>
        <v>TBD</v>
      </c>
      <c r="J93" s="91">
        <f>SUM(E93:I93)</f>
        <v>0</v>
      </c>
      <c r="K93" s="6">
        <v>19029</v>
      </c>
    </row>
    <row r="94" spans="1:12" ht="4.5" customHeight="1" thickBot="1">
      <c r="A94" s="6"/>
      <c r="B94" s="14"/>
      <c r="C94" s="6"/>
      <c r="D94" s="6"/>
      <c r="E94" s="6"/>
      <c r="F94" s="6"/>
      <c r="G94" s="6"/>
      <c r="H94" s="6"/>
      <c r="I94" s="6"/>
      <c r="J94" s="6"/>
    </row>
    <row r="95" spans="1:12" ht="12.75" customHeight="1">
      <c r="A95" s="274" t="s">
        <v>87</v>
      </c>
      <c r="B95" s="92" t="s">
        <v>88</v>
      </c>
      <c r="C95" s="93"/>
      <c r="D95" s="92"/>
      <c r="E95" s="94">
        <f>IF(E93="TBD",0,E91/E93)</f>
        <v>0</v>
      </c>
      <c r="F95" s="94">
        <f t="shared" ref="F95:I95" si="20">IF(F93="TBD",0,F91/F93)</f>
        <v>0</v>
      </c>
      <c r="G95" s="94">
        <f t="shared" si="20"/>
        <v>0</v>
      </c>
      <c r="H95" s="94">
        <f t="shared" si="20"/>
        <v>0</v>
      </c>
      <c r="I95" s="94">
        <f t="shared" si="20"/>
        <v>0</v>
      </c>
      <c r="J95" s="95">
        <f>IF(J93=0,0,J91/J93)</f>
        <v>0</v>
      </c>
    </row>
    <row r="96" spans="1:12" ht="13.5" thickBot="1">
      <c r="A96" s="275"/>
      <c r="B96" s="96" t="s">
        <v>89</v>
      </c>
      <c r="C96" s="97"/>
      <c r="D96" s="96"/>
      <c r="E96" s="98">
        <f t="shared" ref="E96:J96" si="21">IF($C$4=$J$1,0,ROUND($J$1*(E88-E56-E61-E68-SUMIF($B$64:$B$84,$B$70,E64:E84)-E74),0)- ROUND($C$4*E89,0))</f>
        <v>0</v>
      </c>
      <c r="F96" s="98">
        <f t="shared" si="21"/>
        <v>0</v>
      </c>
      <c r="G96" s="98">
        <f t="shared" si="21"/>
        <v>0</v>
      </c>
      <c r="H96" s="98">
        <f t="shared" si="21"/>
        <v>0</v>
      </c>
      <c r="I96" s="98">
        <f t="shared" si="21"/>
        <v>0</v>
      </c>
      <c r="J96" s="99">
        <f t="shared" si="21"/>
        <v>0</v>
      </c>
    </row>
    <row r="97" spans="6:9">
      <c r="F97" s="102"/>
      <c r="G97" s="102"/>
      <c r="H97" s="102"/>
      <c r="I97" s="102"/>
    </row>
    <row r="98" spans="6:9">
      <c r="F98" s="102"/>
      <c r="G98" s="102"/>
      <c r="H98" s="102"/>
      <c r="I98" s="102"/>
    </row>
    <row r="161" spans="18:18">
      <c r="R161" s="265"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62" spans="18:18">
      <c r="R162" s="266"/>
    </row>
    <row r="163" spans="18:18">
      <c r="R163" s="266"/>
    </row>
    <row r="164" spans="18:18">
      <c r="R164" s="266"/>
    </row>
    <row r="165" spans="18:18">
      <c r="R165" s="266"/>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20">
    <mergeCell ref="R161:R165"/>
    <mergeCell ref="A5:B5"/>
    <mergeCell ref="A6:B6"/>
    <mergeCell ref="A7:B7"/>
    <mergeCell ref="C6:E6"/>
    <mergeCell ref="A8:B8"/>
    <mergeCell ref="C8:E8"/>
    <mergeCell ref="C7:E7"/>
    <mergeCell ref="C5:E5"/>
    <mergeCell ref="A9:B9"/>
    <mergeCell ref="A95:A96"/>
    <mergeCell ref="C9:E9"/>
    <mergeCell ref="A11:E13"/>
    <mergeCell ref="A10:B10"/>
    <mergeCell ref="C10:E10"/>
    <mergeCell ref="K1:K4"/>
    <mergeCell ref="C1:E1"/>
    <mergeCell ref="C2:E2"/>
    <mergeCell ref="C3:E3"/>
    <mergeCell ref="C4:E4"/>
  </mergeCells>
  <dataValidations count="25">
    <dataValidation allowBlank="1" showInputMessage="1" showErrorMessage="1" promptTitle="Minimum Salary" prompt="FY 2020 Campus Budget Guidelines: https://www.obfs.uillinois.edu/budgeting/urbana-champaign-campus/budget-guidelines/fy-2020" sqref="B33" xr:uid="{6E5D1867-DA02-4A48-9191-4E4452CA22F3}"/>
    <dataValidation allowBlank="1" showInputMessage="1" showErrorMessage="1" promptTitle="2 CFR 200.330" prompt="Criteria for subrecipient versus contractor determination" sqref="B70 B72" xr:uid="{00000000-0002-0000-0000-000001000000}"/>
    <dataValidation allowBlank="1" showInputMessage="1" showErrorMessage="1" promptTitle="2 CFR 200.314" prompt="Supplies" sqref="B64" xr:uid="{00000000-0002-0000-0000-000002000000}"/>
    <dataValidation allowBlank="1" showInputMessage="1" showErrorMessage="1" promptTitle="2 CFR 200.461" prompt="Publication and printing costs" sqref="B65" xr:uid="{00000000-0002-0000-0000-000003000000}"/>
    <dataValidation allowBlank="1" showInputMessage="1" showErrorMessage="1" promptTitle="2 CFR 200.430" prompt="Compensation-personal services" sqref="B15 B32" xr:uid="{00000000-0002-0000-0000-000004000000}"/>
    <dataValidation allowBlank="1" showInputMessage="1" showErrorMessage="1" promptTitle="2 CFR 200.414 and Appendix III" prompt="Indirect (F&amp;A) costs" sqref="B91" xr:uid="{00000000-0002-0000-0000-000005000000}"/>
    <dataValidation allowBlank="1" showInputMessage="1" showErrorMessage="1" promptTitle="2 CFR 200.330(b)" prompt="Contractor (Vendor) Costs" sqref="B77" xr:uid="{00000000-0002-0000-0000-000006000000}"/>
    <dataValidation allowBlank="1" showInputMessage="1" showErrorMessage="1" promptTitle="2 CFR 200.459" prompt="Professional Service Costs" sqref="B66" xr:uid="{00000000-0002-0000-0000-000007000000}"/>
    <dataValidation allowBlank="1" showInputMessage="1" showErrorMessage="1" promptTitle="Internal Program Rate" prompt="May be deemed as prohibited voluntary cost share by NSF." sqref="B68" xr:uid="{00000000-0002-0000-0000-000008000000}"/>
    <dataValidation allowBlank="1" showInputMessage="1" showErrorMessage="1" promptTitle="Service Activities" prompt="Description: https://www.obfs.uillinois.edu/government-costing/service-Activities/" sqref="B79" xr:uid="{00000000-0002-0000-0000-000009000000}"/>
    <dataValidation allowBlank="1" showInputMessage="1" showErrorMessage="1" promptTitle="Graduate College-Assistantships" prompt="https://grad.illinois.edu/assistantships" sqref="B39 B37" xr:uid="{2A5FF5D5-6C59-48E2-AB73-20817F04B942}"/>
    <dataValidation allowBlank="1" showInputMessage="1" showErrorMessage="1" promptTitle="2 CFR 200.431" prompt="Compensation-fringe benefits" sqref="B53" xr:uid="{00000000-0002-0000-0000-00000B000000}"/>
    <dataValidation allowBlank="1" showInputMessage="1" showErrorMessage="1" promptTitle="OBFS 15" prompt="Travel Reimbursement and Per Diem: https://www.obfs.uillinois.edu/bfpp/section-15-travel/travel-reimbursement-and-per-diem" sqref="B58:B59" xr:uid="{00000000-0002-0000-0000-00000C000000}"/>
    <dataValidation allowBlank="1" showInputMessage="1" showErrorMessage="1" promptTitle="2 CFR 200.92" prompt="Subaward" sqref="B71 B69" xr:uid="{00000000-0002-0000-0000-00000D000000}"/>
    <dataValidation allowBlank="1" showInputMessage="1" showErrorMessage="1" promptTitle="2 CFR 200.92" prompt="With MTDC basis, the first $25,000 of each subaward is assessed F&amp;A costs. " sqref="E71 E69" xr:uid="{00000000-0002-0000-0000-00000E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61" xr:uid="{00000000-0002-0000-0000-00000F000000}"/>
    <dataValidation allowBlank="1" showInputMessage="1" showErrorMessage="1" promptTitle="2 CFR 200.33" prompt="Tangible personal property having a useful life of more than one year and a per-unit acquisition cost which equals or exceeds $5,000." sqref="B56" xr:uid="{00000000-0002-0000-0000-000010000000}"/>
    <dataValidation type="list" allowBlank="1" showInputMessage="1" showErrorMessage="1" promptTitle="Project Activity Type" prompt="Select the Project Activity Type." sqref="C1:E1" xr:uid="{00000000-0002-0000-0000-000011000000}">
      <formula1>$Y$4:$Y$9</formula1>
    </dataValidation>
    <dataValidation type="list" allowBlank="1" showInputMessage="1" showErrorMessage="1" promptTitle="Project Location" prompt="Select the Project Location." sqref="C2:E2" xr:uid="{00000000-0002-0000-0000-000012000000}">
      <formula1>$Z$3:$AA$3</formula1>
    </dataValidation>
    <dataValidation allowBlank="1" showInputMessage="1" showErrorMessage="1" promptTitle="Applicable F&amp;A Rate" prompt="This field will dislpayed after inputting Activity Type and Location" sqref="J1" xr:uid="{BF846C52-C898-4A50-9027-C09D811A3C11}"/>
    <dataValidation allowBlank="1" showInputMessage="1" showErrorMessage="1" promptTitle="Note" prompt="MTDC or TDC will display based on the value selected in cell I3." sqref="B89" xr:uid="{00000000-0002-0000-0000-000014000000}"/>
    <dataValidation allowBlank="1" showInputMessage="1" showErrorMessage="1" promptTitle="Applied F&amp;A Rate" prompt="If appplicable, then override the Applicable F&amp;A Rate with the F&amp;A Rate to be applied to this project." sqref="C4:E4" xr:uid="{00000000-0002-0000-0000-000015000000}"/>
    <dataValidation allowBlank="1" showInputMessage="1" showErrorMessage="1" promptTitle="Notes" prompt="Add notes as necessary." sqref="A11 A5:A9" xr:uid="{00000000-0002-0000-0000-000016000000}"/>
    <dataValidation type="list" allowBlank="1" showInputMessage="1" showErrorMessage="1" promptTitle="F&amp;A Cost Basis" prompt="Select the basis for the F&amp;A costs._x000a_- Full Negotiated Rate = MTDC_x000a_- Reduced Rate = TDC (including (0% or 10%)_x000a_- Non-Standard Costs Assessed F&amp;A Rate = Other" sqref="C3:E3" xr:uid="{00000000-0002-0000-0000-000017000000}">
      <formula1>$AC$4:$AC$6</formula1>
    </dataValidation>
    <dataValidation allowBlank="1" showInputMessage="1" showErrorMessage="1" promptTitle="2 CFR 200.413(c)" prompt="Additional justification is required." sqref="B43" xr:uid="{6391FE85-4123-4918-B43C-F25059BC08ED}"/>
  </dataValidations>
  <hyperlinks>
    <hyperlink ref="B79" r:id="rId1" xr:uid="{00000000-0004-0000-0000-000007000000}"/>
    <hyperlink ref="F4" r:id="rId2" xr:uid="{C384741B-F808-462D-A335-3CB34EFEDB38}"/>
    <hyperlink ref="F7" r:id="rId3" xr:uid="{4BC644EB-6AEF-495E-8AD2-F3F084BC7A43}"/>
    <hyperlink ref="F8" r:id="rId4" xr:uid="{088C62B3-28B2-4D0B-9CEF-33680E535B8E}"/>
    <hyperlink ref="F3" r:id="rId5" xr:uid="{080F14E8-CCCD-4C94-A43F-24CEFF392ECB}"/>
    <hyperlink ref="F1" r:id="rId6" xr:uid="{6E507BB1-9903-4B8D-A575-28D203773560}"/>
    <hyperlink ref="F2" r:id="rId7" xr:uid="{333BDC08-9A51-4F34-983D-236F3EDB7F6E}"/>
    <hyperlink ref="F5" r:id="rId8" display="Fringe Benefit Rate (GRA)" xr:uid="{446BC896-23D1-4F17-9D70-CB2F9095A2E0}"/>
    <hyperlink ref="F6" r:id="rId9" display="Fringe Benefit Rate (GRA)" xr:uid="{106FE0DA-A3A8-45D1-9AA9-8908D3FD03AF}"/>
  </hyperlinks>
  <printOptions horizontalCentered="1"/>
  <pageMargins left="0.25" right="0.25" top="0.75" bottom="0.75" header="0.3" footer="0.3"/>
  <pageSetup scale="90" fitToHeight="0" orientation="portrait" r:id="rId10"/>
  <headerFooter alignWithMargins="0">
    <oddHeader>&amp;L&amp;G&amp;C&amp;"Arial,Bold"&amp;12ATMS Budget Template - FY21&amp;RPage &amp;P of &amp;N</oddHeader>
    <oddFooter>&amp;LSPA v.20200804&amp;C
&amp;RLast Updated: &amp;D</oddFooter>
  </headerFooter>
  <legacyDrawingHF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1"/>
  <sheetViews>
    <sheetView tabSelected="1" workbookViewId="0">
      <selection activeCell="B3" sqref="B3"/>
    </sheetView>
  </sheetViews>
  <sheetFormatPr defaultColWidth="15.7109375" defaultRowHeight="15" customHeight="1"/>
  <cols>
    <col min="1" max="1" width="24.5703125" customWidth="1"/>
    <col min="3" max="3" width="25.5703125" customWidth="1"/>
    <col min="5" max="5" width="25.7109375" bestFit="1" customWidth="1"/>
  </cols>
  <sheetData>
    <row r="1" spans="1:14" ht="15" customHeight="1" thickBot="1">
      <c r="A1" s="148" t="s">
        <v>113</v>
      </c>
      <c r="B1" s="143" t="str">
        <f>IF(General!C8="","",General!C8)</f>
        <v/>
      </c>
      <c r="D1" s="206" t="s">
        <v>155</v>
      </c>
    </row>
    <row r="2" spans="1:14" ht="15" customHeight="1" thickTop="1">
      <c r="A2" s="146" t="s">
        <v>121</v>
      </c>
      <c r="B2" s="147">
        <v>45885</v>
      </c>
      <c r="D2" s="208" t="s">
        <v>33</v>
      </c>
      <c r="E2" s="141" t="s">
        <v>158</v>
      </c>
    </row>
    <row r="3" spans="1:14" ht="15" customHeight="1">
      <c r="A3" s="205"/>
      <c r="B3" s="205"/>
      <c r="D3" s="209" t="s">
        <v>53</v>
      </c>
      <c r="E3" s="141" t="s">
        <v>159</v>
      </c>
    </row>
    <row r="4" spans="1:14" ht="15" customHeight="1">
      <c r="A4" s="169"/>
      <c r="B4" s="170"/>
      <c r="D4" s="210" t="s">
        <v>156</v>
      </c>
      <c r="E4" s="141" t="s">
        <v>160</v>
      </c>
    </row>
    <row r="5" spans="1:14" ht="15" customHeight="1">
      <c r="A5" s="169"/>
      <c r="B5" s="170"/>
      <c r="D5" s="211" t="s">
        <v>149</v>
      </c>
      <c r="E5" s="141" t="s">
        <v>161</v>
      </c>
    </row>
    <row r="6" spans="1:14" ht="15" customHeight="1">
      <c r="A6" s="169"/>
      <c r="B6" s="170"/>
      <c r="D6" s="207" t="s">
        <v>157</v>
      </c>
      <c r="E6" s="141" t="s">
        <v>162</v>
      </c>
    </row>
    <row r="7" spans="1:14" ht="15" customHeight="1">
      <c r="A7" s="169"/>
      <c r="B7" s="170"/>
      <c r="D7" s="144"/>
      <c r="E7" s="141"/>
    </row>
    <row r="8" spans="1:14" ht="15" customHeight="1">
      <c r="A8" s="288" t="s">
        <v>139</v>
      </c>
      <c r="B8" s="288"/>
      <c r="C8" s="288"/>
      <c r="D8" s="288"/>
      <c r="E8" s="288"/>
      <c r="F8" s="288"/>
    </row>
    <row r="10" spans="1:14" s="133" customFormat="1">
      <c r="A10" s="126" t="s">
        <v>90</v>
      </c>
      <c r="B10" s="129"/>
      <c r="C10" s="127" t="s">
        <v>35</v>
      </c>
      <c r="D10" s="130"/>
      <c r="E10" s="127" t="s">
        <v>36</v>
      </c>
      <c r="F10" s="130"/>
      <c r="M10" s="132"/>
      <c r="N10" s="132"/>
    </row>
    <row r="11" spans="1:14" ht="28.5">
      <c r="A11" s="145" t="s">
        <v>120</v>
      </c>
      <c r="B11" s="107" t="s">
        <v>178</v>
      </c>
      <c r="C11" s="108" t="s">
        <v>97</v>
      </c>
      <c r="D11" s="109">
        <v>0</v>
      </c>
      <c r="E11" s="108" t="s">
        <v>97</v>
      </c>
      <c r="F11" s="109">
        <v>0</v>
      </c>
      <c r="M11" s="105"/>
      <c r="N11" s="105"/>
    </row>
    <row r="12" spans="1:14" ht="15" customHeight="1">
      <c r="A12" s="106" t="s">
        <v>97</v>
      </c>
      <c r="B12" s="110">
        <v>0</v>
      </c>
      <c r="C12" s="108" t="s">
        <v>91</v>
      </c>
      <c r="D12" s="111"/>
      <c r="E12" s="108" t="s">
        <v>91</v>
      </c>
      <c r="F12" s="111"/>
      <c r="M12" s="105"/>
      <c r="N12" s="105"/>
    </row>
    <row r="13" spans="1:14" ht="15" customHeight="1">
      <c r="A13" s="106" t="s">
        <v>91</v>
      </c>
      <c r="B13" s="111">
        <v>0</v>
      </c>
      <c r="C13" s="108" t="s">
        <v>92</v>
      </c>
      <c r="D13" s="112"/>
      <c r="E13" s="108" t="s">
        <v>92</v>
      </c>
      <c r="F13" s="112"/>
      <c r="M13" s="105"/>
      <c r="N13" s="105"/>
    </row>
    <row r="14" spans="1:14" ht="15" customHeight="1">
      <c r="A14" s="106" t="s">
        <v>92</v>
      </c>
      <c r="B14" s="112">
        <v>0</v>
      </c>
      <c r="C14" s="113"/>
      <c r="D14" s="114">
        <f>IFERROR(ROUND(((D11*((IF($B$11="YES",1.03,IF($B$11="no",1,"n/a"))/D12))*D13)),0),0)</f>
        <v>0</v>
      </c>
      <c r="E14" s="113"/>
      <c r="F14" s="114">
        <f>IFERROR(ROUND(((F11*((IF($B$11="YES",1.03,IF($B$11="no",1,"n/a"))/F12))*F13)),0),0)</f>
        <v>0</v>
      </c>
      <c r="M14" s="105"/>
      <c r="N14" s="105"/>
    </row>
    <row r="15" spans="1:14" ht="15" customHeight="1">
      <c r="A15" s="115"/>
      <c r="B15" s="114">
        <f>IFERROR(ROUND(((B12*((IF($B$11="YES",1.03,IF($B$11="no",1,"n/a"))/B13))*B14)),0),0)</f>
        <v>0</v>
      </c>
      <c r="C15" s="113"/>
      <c r="D15" s="116"/>
      <c r="E15" s="108"/>
      <c r="F15" s="108"/>
      <c r="M15" s="105"/>
      <c r="N15" s="105"/>
    </row>
    <row r="16" spans="1:14" ht="15" customHeight="1">
      <c r="A16" s="117"/>
      <c r="B16" s="108"/>
      <c r="C16" s="108"/>
      <c r="D16" s="108"/>
      <c r="E16" s="108"/>
      <c r="F16" s="108"/>
      <c r="G16" s="108"/>
      <c r="H16" s="108"/>
      <c r="I16" s="108"/>
      <c r="J16" s="108"/>
      <c r="K16" s="108"/>
      <c r="L16" s="108"/>
      <c r="M16" s="105"/>
      <c r="N16" s="105"/>
    </row>
    <row r="17" spans="1:14" ht="15" customHeight="1">
      <c r="A17" s="127" t="s">
        <v>37</v>
      </c>
      <c r="B17" s="130"/>
      <c r="C17" s="127" t="s">
        <v>38</v>
      </c>
      <c r="D17" s="130"/>
      <c r="E17" s="130" t="s">
        <v>39</v>
      </c>
      <c r="F17" s="130"/>
      <c r="G17" s="108"/>
      <c r="H17" s="108"/>
      <c r="I17" s="108"/>
      <c r="J17" s="108"/>
      <c r="K17" s="108"/>
      <c r="L17" s="108"/>
      <c r="M17" s="105"/>
      <c r="N17" s="105"/>
    </row>
    <row r="18" spans="1:14" s="133" customFormat="1" ht="14.25">
      <c r="A18" s="108" t="s">
        <v>97</v>
      </c>
      <c r="B18" s="109">
        <v>0</v>
      </c>
      <c r="C18" s="108" t="s">
        <v>97</v>
      </c>
      <c r="D18" s="109">
        <v>0</v>
      </c>
      <c r="E18" s="108" t="s">
        <v>97</v>
      </c>
      <c r="F18" s="109">
        <v>0</v>
      </c>
      <c r="I18" s="136"/>
      <c r="J18" s="136"/>
      <c r="K18" s="136"/>
      <c r="L18" s="136"/>
      <c r="M18" s="132"/>
      <c r="N18" s="132"/>
    </row>
    <row r="19" spans="1:14" ht="15" customHeight="1">
      <c r="A19" s="108" t="s">
        <v>91</v>
      </c>
      <c r="B19" s="111"/>
      <c r="C19" s="108" t="s">
        <v>91</v>
      </c>
      <c r="D19" s="111"/>
      <c r="E19" s="108" t="s">
        <v>91</v>
      </c>
      <c r="F19" s="111"/>
      <c r="I19" s="108"/>
      <c r="J19" s="108"/>
      <c r="K19" s="108"/>
      <c r="L19" s="108"/>
      <c r="M19" s="105"/>
      <c r="N19" s="105"/>
    </row>
    <row r="20" spans="1:14" ht="15" customHeight="1">
      <c r="A20" s="108" t="s">
        <v>92</v>
      </c>
      <c r="B20" s="112"/>
      <c r="C20" s="108" t="s">
        <v>92</v>
      </c>
      <c r="D20" s="112"/>
      <c r="E20" s="108" t="s">
        <v>92</v>
      </c>
      <c r="F20" s="112"/>
      <c r="I20" s="108"/>
      <c r="J20" s="108"/>
      <c r="K20" s="108"/>
      <c r="L20" s="108"/>
      <c r="M20" s="105"/>
      <c r="N20" s="105"/>
    </row>
    <row r="21" spans="1:14" ht="15" customHeight="1">
      <c r="A21" s="113"/>
      <c r="B21" s="114">
        <f>IFERROR(ROUND(((B18*((IF($B$11="YES",1.03,IF($B$11="no",1,"n/a"))/B19))*B20)),0),0)</f>
        <v>0</v>
      </c>
      <c r="C21" s="113"/>
      <c r="D21" s="114">
        <f>IFERROR(ROUND(((D18*((IF($B$11="YES",1.03,IF($B$11="no",1,"n/a"))/D19))*D20)),0),0)</f>
        <v>0</v>
      </c>
      <c r="E21" s="113"/>
      <c r="F21" s="114">
        <f>IFERROR(ROUND(((F18*((IF($B$11="YES",1.03,IF($B$11="no",1,"n/a"))/F19))*F20)),0),0)</f>
        <v>0</v>
      </c>
      <c r="I21" s="108"/>
      <c r="J21" s="108"/>
      <c r="K21" s="108"/>
      <c r="L21" s="108"/>
      <c r="M21" s="105"/>
      <c r="N21" s="105"/>
    </row>
    <row r="22" spans="1:14" ht="15" customHeight="1">
      <c r="A22" s="108"/>
      <c r="B22" s="108"/>
      <c r="I22" s="108"/>
      <c r="J22" s="108"/>
      <c r="K22" s="108"/>
      <c r="L22" s="108"/>
      <c r="M22" s="105"/>
      <c r="N22" s="105"/>
    </row>
    <row r="23" spans="1:14" ht="15" customHeight="1">
      <c r="A23" s="128" t="s">
        <v>93</v>
      </c>
      <c r="B23" s="129"/>
      <c r="C23" s="128" t="s">
        <v>44</v>
      </c>
      <c r="D23" s="129"/>
      <c r="E23" s="134" t="s">
        <v>47</v>
      </c>
      <c r="F23" s="129"/>
      <c r="I23" s="108"/>
      <c r="J23" s="108"/>
      <c r="K23" s="108"/>
      <c r="L23" s="108"/>
      <c r="M23" s="105"/>
      <c r="N23" s="105"/>
    </row>
    <row r="24" spans="1:14" ht="15" customHeight="1">
      <c r="A24" s="106" t="s">
        <v>97</v>
      </c>
      <c r="B24" s="110">
        <v>0</v>
      </c>
      <c r="C24" s="106" t="s">
        <v>97</v>
      </c>
      <c r="D24" s="110"/>
      <c r="E24" s="106" t="s">
        <v>103</v>
      </c>
      <c r="F24" s="110"/>
      <c r="I24" s="108"/>
      <c r="J24" s="108"/>
      <c r="K24" s="108"/>
      <c r="L24" s="108"/>
      <c r="M24" s="105"/>
      <c r="N24" s="105"/>
    </row>
    <row r="25" spans="1:14" ht="15" customHeight="1">
      <c r="A25" s="106" t="s">
        <v>91</v>
      </c>
      <c r="B25" s="111"/>
      <c r="C25" s="106" t="s">
        <v>91</v>
      </c>
      <c r="D25" s="111"/>
      <c r="E25" s="106" t="s">
        <v>104</v>
      </c>
      <c r="F25" s="111"/>
      <c r="I25" s="108"/>
      <c r="J25" s="108"/>
      <c r="K25" s="108"/>
      <c r="L25" s="108"/>
      <c r="M25" s="105"/>
      <c r="N25" s="105"/>
    </row>
    <row r="26" spans="1:14" ht="15" customHeight="1">
      <c r="A26" s="106" t="s">
        <v>92</v>
      </c>
      <c r="B26" s="112"/>
      <c r="C26" s="106" t="s">
        <v>92</v>
      </c>
      <c r="D26" s="112"/>
      <c r="E26" s="106" t="s">
        <v>92</v>
      </c>
      <c r="F26" s="112"/>
      <c r="I26" s="108"/>
      <c r="J26" s="108"/>
      <c r="K26" s="108"/>
      <c r="L26" s="108"/>
      <c r="M26" s="105"/>
      <c r="N26" s="105"/>
    </row>
    <row r="27" spans="1:14" ht="15" customHeight="1">
      <c r="A27" s="115"/>
      <c r="B27" s="114">
        <f>IFERROR(ROUND(((B24*((IF($B$11="YES",1.03,IF($B$11="no",1,"n/a"))/B25))*B26)),0),0)</f>
        <v>0</v>
      </c>
      <c r="C27" s="115"/>
      <c r="D27" s="114">
        <f>IFERROR(ROUND(((D24*((IF($B$11="YES",1.03,IF($B$11="no",1,"n/a"))/D25))*D26)),0),0)</f>
        <v>0</v>
      </c>
      <c r="E27" s="115"/>
      <c r="F27" s="114">
        <f>IFERROR(ROUND(((F24*((IF($B$11="YES",1.03,IF($B$11="no",1,"n/a"))*F25))*F26)),0),0)</f>
        <v>0</v>
      </c>
      <c r="I27" s="108"/>
      <c r="J27" s="108"/>
      <c r="K27" s="108"/>
      <c r="L27" s="108"/>
      <c r="M27" s="105"/>
      <c r="N27" s="105"/>
    </row>
    <row r="28" spans="1:14" ht="15" customHeight="1">
      <c r="A28" s="108"/>
      <c r="B28" s="108"/>
      <c r="C28" s="108"/>
      <c r="D28" s="108"/>
      <c r="E28" s="108"/>
      <c r="F28" s="108"/>
      <c r="G28" s="108"/>
      <c r="H28" s="108"/>
      <c r="I28" s="108"/>
      <c r="J28" s="108"/>
      <c r="K28" s="108"/>
      <c r="L28" s="108"/>
      <c r="M28" s="105"/>
      <c r="N28" s="105"/>
    </row>
    <row r="29" spans="1:14" ht="15" customHeight="1">
      <c r="A29" s="135" t="s">
        <v>48</v>
      </c>
      <c r="B29" s="129"/>
      <c r="C29" s="137" t="s">
        <v>94</v>
      </c>
      <c r="D29" s="138"/>
      <c r="E29" s="118" t="s">
        <v>46</v>
      </c>
      <c r="F29" s="174"/>
      <c r="I29" s="108"/>
      <c r="J29" s="108"/>
      <c r="K29" s="108"/>
      <c r="L29" s="108"/>
      <c r="M29" s="105"/>
      <c r="N29" s="105"/>
    </row>
    <row r="30" spans="1:14" ht="15" customHeight="1">
      <c r="A30" s="106" t="s">
        <v>103</v>
      </c>
      <c r="B30" s="110"/>
      <c r="C30" s="108" t="s">
        <v>95</v>
      </c>
      <c r="D30" s="120"/>
      <c r="E30" s="108" t="s">
        <v>106</v>
      </c>
      <c r="F30" s="121"/>
      <c r="I30" s="108"/>
      <c r="J30" s="108"/>
      <c r="K30" s="108"/>
      <c r="L30" s="108"/>
      <c r="M30" s="105"/>
      <c r="N30" s="105"/>
    </row>
    <row r="31" spans="1:14" ht="15" customHeight="1">
      <c r="A31" s="106" t="s">
        <v>104</v>
      </c>
      <c r="B31" s="111"/>
      <c r="C31" s="106" t="s">
        <v>97</v>
      </c>
      <c r="D31" s="139"/>
      <c r="E31" s="108" t="s">
        <v>96</v>
      </c>
      <c r="F31" s="122"/>
      <c r="J31" s="108"/>
      <c r="K31" s="108"/>
      <c r="L31" s="108"/>
      <c r="M31" s="105"/>
      <c r="N31" s="105"/>
    </row>
    <row r="32" spans="1:14" ht="15" customHeight="1">
      <c r="A32" s="106" t="s">
        <v>92</v>
      </c>
      <c r="B32" s="112"/>
      <c r="C32" s="106" t="s">
        <v>102</v>
      </c>
      <c r="D32" s="140"/>
      <c r="E32" s="123" t="s">
        <v>107</v>
      </c>
      <c r="F32" s="119"/>
      <c r="J32" s="108"/>
      <c r="K32" s="108"/>
      <c r="L32" s="108"/>
      <c r="M32" s="105"/>
      <c r="N32" s="105"/>
    </row>
    <row r="33" spans="1:14" ht="15" customHeight="1">
      <c r="A33" s="115"/>
      <c r="B33" s="114">
        <f>IFERROR(ROUND(((B30*((IF($B$11="YES",1.03,IF($B$11="no",1,"n/a"))*B31))*B32)),0),0)</f>
        <v>0</v>
      </c>
      <c r="C33" s="106" t="s">
        <v>92</v>
      </c>
      <c r="D33" s="112"/>
      <c r="E33" s="108" t="s">
        <v>105</v>
      </c>
      <c r="F33" s="121"/>
      <c r="J33" s="108"/>
      <c r="K33" s="108"/>
      <c r="L33" s="108"/>
      <c r="M33" s="105"/>
      <c r="N33" s="105"/>
    </row>
    <row r="34" spans="1:14" ht="15" customHeight="1">
      <c r="C34" s="113"/>
      <c r="D34" s="114">
        <f>IFERROR(ROUND(((D31*((IF(B11="YES",1.03,IF(B11="no",1,"n/a"))/D32))*D33))*D30,0),0)</f>
        <v>0</v>
      </c>
      <c r="E34" s="108" t="s">
        <v>108</v>
      </c>
      <c r="F34" s="122"/>
      <c r="G34" s="108"/>
      <c r="H34" s="108"/>
      <c r="I34" s="108"/>
      <c r="J34" s="108"/>
      <c r="K34" s="108"/>
      <c r="L34" s="108"/>
      <c r="M34" s="105"/>
      <c r="N34" s="105"/>
    </row>
    <row r="35" spans="1:14" ht="15" customHeight="1">
      <c r="C35" s="240" t="s">
        <v>170</v>
      </c>
      <c r="E35" s="123" t="s">
        <v>109</v>
      </c>
      <c r="F35" s="119"/>
      <c r="G35" s="108"/>
      <c r="H35" s="108"/>
      <c r="I35" s="108"/>
      <c r="J35" s="108"/>
      <c r="K35" s="108"/>
      <c r="L35" s="108"/>
      <c r="M35" s="105"/>
      <c r="N35" s="105"/>
    </row>
    <row r="36" spans="1:14" ht="15" customHeight="1">
      <c r="C36" s="105" t="s">
        <v>95</v>
      </c>
      <c r="D36" s="241"/>
      <c r="E36" s="108" t="s">
        <v>110</v>
      </c>
      <c r="F36" s="121"/>
      <c r="G36" s="108"/>
      <c r="H36" s="108"/>
      <c r="I36" s="108"/>
      <c r="J36" s="108"/>
      <c r="K36" s="108"/>
      <c r="L36" s="108"/>
      <c r="M36" s="105"/>
      <c r="N36" s="105"/>
    </row>
    <row r="37" spans="1:14" ht="15" customHeight="1">
      <c r="C37" s="242" t="s">
        <v>97</v>
      </c>
      <c r="D37" s="139"/>
      <c r="E37" s="108" t="s">
        <v>111</v>
      </c>
      <c r="F37" s="122"/>
      <c r="G37" s="108"/>
      <c r="H37" s="108"/>
    </row>
    <row r="38" spans="1:14" ht="15" customHeight="1" thickBot="1">
      <c r="C38" s="242" t="s">
        <v>102</v>
      </c>
      <c r="D38" s="243"/>
      <c r="E38" s="124" t="s">
        <v>112</v>
      </c>
      <c r="F38" s="125"/>
      <c r="G38" s="108"/>
      <c r="H38" s="108"/>
    </row>
    <row r="39" spans="1:14" ht="15" customHeight="1" thickTop="1">
      <c r="C39" s="242" t="s">
        <v>92</v>
      </c>
      <c r="D39" s="244"/>
      <c r="E39" s="108"/>
      <c r="F39" s="260">
        <f>ROUND((F30*F31*F32)+(F33*F34*F35)+(F36*F37*F38),0)</f>
        <v>0</v>
      </c>
      <c r="G39" s="108"/>
      <c r="H39" s="108"/>
    </row>
    <row r="40" spans="1:14" ht="15" customHeight="1">
      <c r="C40" s="113"/>
      <c r="D40" s="245">
        <f>IFERROR(ROUND((D37/D38)*D39*D36,0),0)</f>
        <v>0</v>
      </c>
      <c r="E40" s="108"/>
      <c r="F40" s="108"/>
      <c r="G40" s="108"/>
      <c r="H40" s="108"/>
    </row>
    <row r="41" spans="1:14" ht="15" customHeight="1">
      <c r="C41" s="113"/>
      <c r="D41" s="259"/>
      <c r="E41" s="108"/>
      <c r="F41" s="108"/>
      <c r="G41" s="108"/>
      <c r="H41" s="108"/>
    </row>
    <row r="42" spans="1:14" ht="15" customHeight="1">
      <c r="A42" s="285" t="s">
        <v>151</v>
      </c>
      <c r="B42" s="285"/>
      <c r="C42" s="285"/>
      <c r="D42" s="285"/>
    </row>
    <row r="44" spans="1:14" ht="15" customHeight="1">
      <c r="A44" s="191" t="s">
        <v>53</v>
      </c>
    </row>
    <row r="45" spans="1:14" ht="15" customHeight="1">
      <c r="A45" s="199" t="s">
        <v>142</v>
      </c>
      <c r="B45" s="177" t="s">
        <v>144</v>
      </c>
      <c r="C45" s="177" t="s">
        <v>143</v>
      </c>
      <c r="D45" s="162"/>
    </row>
    <row r="46" spans="1:14" ht="15" customHeight="1">
      <c r="A46" s="141"/>
      <c r="B46" s="184"/>
      <c r="C46" s="193"/>
      <c r="D46" s="159">
        <f>B46*C46</f>
        <v>0</v>
      </c>
    </row>
    <row r="47" spans="1:14" ht="15" customHeight="1">
      <c r="A47" s="141"/>
      <c r="B47" s="6"/>
      <c r="C47" s="193">
        <v>0</v>
      </c>
      <c r="D47" s="159">
        <f>B47*C47</f>
        <v>0</v>
      </c>
    </row>
    <row r="48" spans="1:14" ht="15" customHeight="1" thickBot="1">
      <c r="A48" s="186"/>
      <c r="B48" s="187"/>
      <c r="C48" s="194">
        <v>0</v>
      </c>
      <c r="D48" s="189">
        <f>B48*C48</f>
        <v>0</v>
      </c>
    </row>
    <row r="49" spans="1:12" ht="15" customHeight="1" thickTop="1">
      <c r="A49" s="6"/>
      <c r="B49" s="14"/>
      <c r="C49" s="14"/>
      <c r="D49" s="204">
        <f>SUM(D46:D48)</f>
        <v>0</v>
      </c>
    </row>
    <row r="51" spans="1:12" ht="15" customHeight="1">
      <c r="A51" s="287" t="s">
        <v>140</v>
      </c>
      <c r="B51" s="287"/>
      <c r="C51" s="287"/>
      <c r="D51" s="287"/>
    </row>
    <row r="52" spans="1:12" ht="15" customHeight="1">
      <c r="E52" s="6"/>
      <c r="F52" s="6"/>
      <c r="G52" s="6"/>
      <c r="H52" s="6"/>
      <c r="I52" s="6"/>
      <c r="J52" s="6"/>
      <c r="K52" s="6"/>
      <c r="L52" s="6"/>
    </row>
    <row r="53" spans="1:12" ht="15" customHeight="1">
      <c r="A53" s="149" t="s">
        <v>122</v>
      </c>
      <c r="B53" s="150" t="s">
        <v>123</v>
      </c>
      <c r="C53" s="151" t="s">
        <v>124</v>
      </c>
      <c r="D53" s="53" t="s">
        <v>125</v>
      </c>
      <c r="E53" s="6"/>
      <c r="F53" s="6"/>
      <c r="G53" s="6"/>
      <c r="H53" s="6"/>
      <c r="I53" s="6"/>
      <c r="J53" s="6"/>
      <c r="K53" s="6"/>
      <c r="L53" s="6"/>
    </row>
    <row r="54" spans="1:12" ht="15" customHeight="1">
      <c r="A54" s="152" t="s">
        <v>128</v>
      </c>
      <c r="B54" s="153" t="s">
        <v>129</v>
      </c>
      <c r="C54" s="171"/>
      <c r="D54" s="172"/>
    </row>
    <row r="55" spans="1:12" ht="15" customHeight="1">
      <c r="A55" t="s">
        <v>130</v>
      </c>
      <c r="B55" s="156"/>
      <c r="C55" s="157"/>
      <c r="D55" s="158">
        <f>B55*C55</f>
        <v>0</v>
      </c>
    </row>
    <row r="56" spans="1:12" ht="15" customHeight="1">
      <c r="A56" t="s">
        <v>131</v>
      </c>
      <c r="B56" s="6"/>
      <c r="C56" s="157"/>
      <c r="D56" s="159">
        <f>B56*C56</f>
        <v>0</v>
      </c>
    </row>
    <row r="57" spans="1:12" ht="15" customHeight="1">
      <c r="A57" t="s">
        <v>132</v>
      </c>
      <c r="B57" s="6"/>
      <c r="C57" s="160"/>
      <c r="D57" s="159">
        <f>B57*C57</f>
        <v>0</v>
      </c>
    </row>
    <row r="58" spans="1:12" ht="15" customHeight="1">
      <c r="A58" s="141" t="s">
        <v>138</v>
      </c>
      <c r="B58" s="214"/>
      <c r="C58" s="160">
        <v>0.7</v>
      </c>
      <c r="D58" s="159">
        <f>B58*C58</f>
        <v>0</v>
      </c>
    </row>
    <row r="59" spans="1:12" ht="15" customHeight="1">
      <c r="A59" s="161" t="s">
        <v>133</v>
      </c>
      <c r="B59" s="162"/>
      <c r="C59" s="163"/>
      <c r="D59" s="159">
        <f>B59*C59</f>
        <v>0</v>
      </c>
    </row>
    <row r="60" spans="1:12" ht="15" customHeight="1">
      <c r="A60" s="6"/>
      <c r="B60" s="6"/>
      <c r="C60" t="s">
        <v>134</v>
      </c>
      <c r="D60" s="159">
        <f>(SUM(D55:D59))</f>
        <v>0</v>
      </c>
    </row>
    <row r="61" spans="1:12" ht="15" customHeight="1" thickBot="1">
      <c r="A61" s="164" t="s">
        <v>135</v>
      </c>
      <c r="B61" s="165">
        <v>1</v>
      </c>
      <c r="C61" s="166"/>
      <c r="D61" s="167">
        <f>B61</f>
        <v>1</v>
      </c>
    </row>
    <row r="62" spans="1:12" ht="15" customHeight="1" thickTop="1">
      <c r="B62" s="6"/>
      <c r="D62" s="168">
        <f>D60*B61</f>
        <v>0</v>
      </c>
    </row>
    <row r="63" spans="1:12" ht="15" customHeight="1">
      <c r="C63" s="6"/>
      <c r="D63" s="6"/>
    </row>
    <row r="64" spans="1:12" ht="15" customHeight="1">
      <c r="A64" s="149" t="s">
        <v>126</v>
      </c>
      <c r="B64" s="151" t="s">
        <v>123</v>
      </c>
      <c r="C64" s="151" t="s">
        <v>124</v>
      </c>
      <c r="D64" s="53" t="s">
        <v>125</v>
      </c>
    </row>
    <row r="65" spans="1:4" ht="15" customHeight="1">
      <c r="A65" s="154" t="s">
        <v>128</v>
      </c>
      <c r="B65" s="155" t="s">
        <v>163</v>
      </c>
      <c r="C65" s="173"/>
      <c r="D65" s="172"/>
    </row>
    <row r="66" spans="1:4" ht="15" customHeight="1">
      <c r="A66" t="s">
        <v>130</v>
      </c>
      <c r="B66" s="6"/>
      <c r="C66" s="157"/>
      <c r="D66" s="158">
        <f>B66*C66</f>
        <v>0</v>
      </c>
    </row>
    <row r="67" spans="1:4" ht="15" customHeight="1">
      <c r="A67" t="s">
        <v>131</v>
      </c>
      <c r="B67" s="6"/>
      <c r="C67" s="157"/>
      <c r="D67" s="159">
        <f>B67*C67</f>
        <v>0</v>
      </c>
    </row>
    <row r="68" spans="1:4" ht="15" customHeight="1">
      <c r="A68" t="s">
        <v>132</v>
      </c>
      <c r="B68" s="6"/>
      <c r="C68" s="160"/>
      <c r="D68" s="159">
        <f>B68*C68</f>
        <v>0</v>
      </c>
    </row>
    <row r="69" spans="1:4" ht="15" customHeight="1">
      <c r="A69" s="141" t="s">
        <v>138</v>
      </c>
      <c r="B69" s="6"/>
      <c r="C69" s="160">
        <v>0.7</v>
      </c>
      <c r="D69" s="159">
        <f>B69*C69</f>
        <v>0</v>
      </c>
    </row>
    <row r="70" spans="1:4" ht="15" customHeight="1">
      <c r="A70" s="161" t="s">
        <v>133</v>
      </c>
      <c r="B70" s="162"/>
      <c r="C70" s="163"/>
      <c r="D70" s="159">
        <f>B70*C70</f>
        <v>0</v>
      </c>
    </row>
    <row r="71" spans="1:4" ht="15" customHeight="1">
      <c r="A71" s="6"/>
      <c r="B71" s="6"/>
      <c r="D71" s="159">
        <f>(SUM(D66:D70))</f>
        <v>0</v>
      </c>
    </row>
    <row r="72" spans="1:4" ht="15" customHeight="1" thickBot="1">
      <c r="A72" s="164" t="s">
        <v>135</v>
      </c>
      <c r="B72" s="165">
        <v>1</v>
      </c>
      <c r="C72" s="166"/>
      <c r="D72" s="167">
        <f>B72</f>
        <v>1</v>
      </c>
    </row>
    <row r="73" spans="1:4" ht="15" customHeight="1" thickTop="1">
      <c r="B73" s="6"/>
      <c r="D73" s="168">
        <f>D71*B72</f>
        <v>0</v>
      </c>
    </row>
    <row r="75" spans="1:4" ht="15" customHeight="1">
      <c r="A75" s="149" t="s">
        <v>127</v>
      </c>
      <c r="B75" s="151" t="s">
        <v>123</v>
      </c>
      <c r="C75" s="151" t="s">
        <v>124</v>
      </c>
      <c r="D75" s="53" t="s">
        <v>125</v>
      </c>
    </row>
    <row r="76" spans="1:4" ht="15" customHeight="1">
      <c r="A76" s="154" t="s">
        <v>128</v>
      </c>
      <c r="B76" s="155" t="s">
        <v>129</v>
      </c>
      <c r="C76" s="173"/>
      <c r="D76" s="172"/>
    </row>
    <row r="77" spans="1:4" ht="15" customHeight="1">
      <c r="A77" t="s">
        <v>130</v>
      </c>
      <c r="B77" s="6"/>
      <c r="C77" s="157"/>
      <c r="D77" s="158">
        <f>B77*C77</f>
        <v>0</v>
      </c>
    </row>
    <row r="78" spans="1:4" ht="15" customHeight="1">
      <c r="A78" t="s">
        <v>131</v>
      </c>
      <c r="B78" s="6"/>
      <c r="C78" s="157"/>
      <c r="D78" s="159">
        <f>B78*C78</f>
        <v>0</v>
      </c>
    </row>
    <row r="79" spans="1:4" ht="15" customHeight="1">
      <c r="A79" t="s">
        <v>132</v>
      </c>
      <c r="B79" s="6"/>
      <c r="C79" s="160"/>
      <c r="D79" s="159">
        <f>B79*C79</f>
        <v>0</v>
      </c>
    </row>
    <row r="80" spans="1:4" ht="15" customHeight="1">
      <c r="A80" s="141" t="s">
        <v>138</v>
      </c>
      <c r="B80" s="6"/>
      <c r="C80" s="160">
        <v>0.7</v>
      </c>
      <c r="D80" s="159">
        <f>B80*C80</f>
        <v>0</v>
      </c>
    </row>
    <row r="81" spans="1:4" ht="15" customHeight="1">
      <c r="A81" s="161" t="s">
        <v>133</v>
      </c>
      <c r="B81" s="162"/>
      <c r="C81" s="163"/>
      <c r="D81" s="159">
        <f>B81*C81</f>
        <v>0</v>
      </c>
    </row>
    <row r="82" spans="1:4" ht="15" customHeight="1">
      <c r="A82" s="6"/>
      <c r="B82" s="6"/>
      <c r="C82" t="s">
        <v>134</v>
      </c>
      <c r="D82" s="159">
        <f>(SUM(D77:D81))</f>
        <v>0</v>
      </c>
    </row>
    <row r="83" spans="1:4" ht="15" customHeight="1" thickBot="1">
      <c r="A83" s="164" t="s">
        <v>135</v>
      </c>
      <c r="B83" s="165"/>
      <c r="C83" s="166"/>
      <c r="D83" s="167">
        <f>B83</f>
        <v>0</v>
      </c>
    </row>
    <row r="84" spans="1:4" ht="15" customHeight="1" thickTop="1">
      <c r="B84" s="6"/>
      <c r="D84" s="168">
        <f>D82*B83</f>
        <v>0</v>
      </c>
    </row>
    <row r="86" spans="1:4" ht="15" customHeight="1">
      <c r="C86" s="14" t="s">
        <v>136</v>
      </c>
      <c r="D86" s="212">
        <f>ROUND(IF(B54="Domestic",D62,0)+IF(B65="domestic",D73,0)+IF(B76="domestic",D84,0),0)</f>
        <v>0</v>
      </c>
    </row>
    <row r="87" spans="1:4" ht="15" customHeight="1">
      <c r="C87" s="14" t="s">
        <v>137</v>
      </c>
      <c r="D87" s="213">
        <f>ROUND(IF(B54="INTERNATIONAL",D62,0)+IF(B65="INTERNATIONAL",D73,0)+IF(B76="INTERNATIONAL",D84,0),0)</f>
        <v>0</v>
      </c>
    </row>
    <row r="89" spans="1:4" ht="15" customHeight="1">
      <c r="A89" s="286" t="s">
        <v>154</v>
      </c>
      <c r="B89" s="286"/>
      <c r="C89" s="286"/>
      <c r="D89" s="286"/>
    </row>
    <row r="91" spans="1:4" ht="15" customHeight="1">
      <c r="A91" s="175" t="s">
        <v>149</v>
      </c>
      <c r="B91" s="6"/>
      <c r="C91" s="6"/>
      <c r="D91" s="6"/>
    </row>
    <row r="92" spans="1:4" ht="15" customHeight="1">
      <c r="A92" s="176" t="s">
        <v>142</v>
      </c>
      <c r="B92" s="177" t="s">
        <v>144</v>
      </c>
      <c r="C92" s="177" t="s">
        <v>143</v>
      </c>
      <c r="D92" s="177" t="s">
        <v>145</v>
      </c>
    </row>
    <row r="93" spans="1:4" ht="15" customHeight="1">
      <c r="A93" s="178"/>
      <c r="B93" s="14"/>
      <c r="C93" s="195"/>
      <c r="D93" s="179">
        <f>B93*C93</f>
        <v>0</v>
      </c>
    </row>
    <row r="94" spans="1:4" ht="15" customHeight="1">
      <c r="A94" s="181"/>
      <c r="B94" s="14"/>
      <c r="C94" s="195"/>
      <c r="D94" s="179">
        <f t="shared" ref="D94:D99" si="0">B94*C94</f>
        <v>0</v>
      </c>
    </row>
    <row r="95" spans="1:4" ht="15" customHeight="1">
      <c r="A95" s="181"/>
      <c r="B95" s="6"/>
      <c r="C95" s="196"/>
      <c r="D95" s="179">
        <f t="shared" si="0"/>
        <v>0</v>
      </c>
    </row>
    <row r="96" spans="1:4" ht="15" customHeight="1">
      <c r="A96" s="181"/>
      <c r="B96" s="6"/>
      <c r="C96" s="196"/>
      <c r="D96" s="179">
        <f t="shared" si="0"/>
        <v>0</v>
      </c>
    </row>
    <row r="97" spans="1:4" ht="15" customHeight="1">
      <c r="A97" s="181"/>
      <c r="B97" s="6"/>
      <c r="C97" s="196"/>
      <c r="D97" s="179">
        <f t="shared" si="0"/>
        <v>0</v>
      </c>
    </row>
    <row r="98" spans="1:4" ht="15" customHeight="1">
      <c r="A98" s="181"/>
      <c r="B98" s="6"/>
      <c r="C98" s="196"/>
      <c r="D98" s="179">
        <f t="shared" si="0"/>
        <v>0</v>
      </c>
    </row>
    <row r="99" spans="1:4" ht="15" customHeight="1" thickBot="1">
      <c r="A99" s="182"/>
      <c r="B99" s="166"/>
      <c r="C99" s="197"/>
      <c r="D99" s="190">
        <f t="shared" si="0"/>
        <v>0</v>
      </c>
    </row>
    <row r="100" spans="1:4" ht="15" customHeight="1" thickTop="1">
      <c r="A100" s="7"/>
      <c r="B100" s="6"/>
      <c r="C100" s="6"/>
      <c r="D100" s="203">
        <f>SUM(D93:D99)</f>
        <v>0</v>
      </c>
    </row>
    <row r="102" spans="1:4" ht="15" customHeight="1">
      <c r="A102" s="200" t="s">
        <v>153</v>
      </c>
      <c r="B102" s="200"/>
      <c r="C102" s="200"/>
      <c r="D102" s="200"/>
    </row>
    <row r="104" spans="1:4" ht="15" customHeight="1">
      <c r="A104" s="175" t="s">
        <v>141</v>
      </c>
      <c r="B104" s="6"/>
      <c r="C104" s="6"/>
      <c r="D104" s="6"/>
    </row>
    <row r="105" spans="1:4" ht="15" customHeight="1">
      <c r="A105" s="176" t="s">
        <v>142</v>
      </c>
      <c r="B105" s="177" t="s">
        <v>144</v>
      </c>
      <c r="C105" s="177" t="s">
        <v>143</v>
      </c>
      <c r="D105" s="177" t="s">
        <v>145</v>
      </c>
    </row>
    <row r="106" spans="1:4" ht="15" customHeight="1">
      <c r="A106" s="178"/>
      <c r="B106" s="14"/>
      <c r="C106" s="195"/>
      <c r="D106" s="179">
        <f>B106*C106</f>
        <v>0</v>
      </c>
    </row>
    <row r="107" spans="1:4" ht="15" customHeight="1">
      <c r="A107" s="180"/>
      <c r="B107" s="14"/>
      <c r="C107" s="195">
        <v>0</v>
      </c>
      <c r="D107" s="179">
        <f t="shared" ref="D107:D112" si="1">B107*C107</f>
        <v>0</v>
      </c>
    </row>
    <row r="108" spans="1:4" ht="15" customHeight="1">
      <c r="A108" s="180"/>
      <c r="B108" s="6"/>
      <c r="C108" s="196">
        <v>0</v>
      </c>
      <c r="D108" s="179">
        <f t="shared" si="1"/>
        <v>0</v>
      </c>
    </row>
    <row r="109" spans="1:4" ht="15" customHeight="1">
      <c r="A109" s="181"/>
      <c r="B109" s="6"/>
      <c r="C109" s="196">
        <v>0</v>
      </c>
      <c r="D109" s="179">
        <f t="shared" si="1"/>
        <v>0</v>
      </c>
    </row>
    <row r="110" spans="1:4" ht="15" customHeight="1">
      <c r="A110" s="181"/>
      <c r="B110" s="6"/>
      <c r="C110" s="196">
        <v>0</v>
      </c>
      <c r="D110" s="179">
        <f t="shared" si="1"/>
        <v>0</v>
      </c>
    </row>
    <row r="111" spans="1:4" ht="15" customHeight="1">
      <c r="A111" s="181"/>
      <c r="B111" s="6"/>
      <c r="C111" s="196">
        <v>0</v>
      </c>
      <c r="D111" s="179">
        <f t="shared" si="1"/>
        <v>0</v>
      </c>
    </row>
    <row r="112" spans="1:4" ht="15" customHeight="1" thickBot="1">
      <c r="A112" s="182"/>
      <c r="B112" s="166"/>
      <c r="C112" s="197">
        <v>0</v>
      </c>
      <c r="D112" s="179">
        <f t="shared" si="1"/>
        <v>0</v>
      </c>
    </row>
    <row r="113" spans="1:4" ht="15" customHeight="1" thickTop="1">
      <c r="A113" s="7"/>
      <c r="B113" s="6"/>
      <c r="C113" s="6"/>
      <c r="D113" s="201">
        <f>SUM(D106:D112)</f>
        <v>0</v>
      </c>
    </row>
    <row r="114" spans="1:4" ht="15" customHeight="1">
      <c r="A114" s="191" t="s">
        <v>150</v>
      </c>
    </row>
    <row r="115" spans="1:4" ht="15" customHeight="1">
      <c r="A115" s="199" t="s">
        <v>142</v>
      </c>
      <c r="B115" s="177" t="s">
        <v>144</v>
      </c>
      <c r="C115" s="177" t="s">
        <v>143</v>
      </c>
      <c r="D115" s="162"/>
    </row>
    <row r="116" spans="1:4" ht="15" customHeight="1">
      <c r="A116" s="141"/>
      <c r="B116" s="184"/>
      <c r="C116" s="157"/>
      <c r="D116" s="159">
        <f>B116*C116</f>
        <v>0</v>
      </c>
    </row>
    <row r="117" spans="1:4" ht="15" customHeight="1">
      <c r="A117" s="141"/>
      <c r="B117" s="6"/>
      <c r="C117" s="157">
        <v>0</v>
      </c>
      <c r="D117" s="159">
        <f>B117*C117</f>
        <v>0</v>
      </c>
    </row>
    <row r="118" spans="1:4" ht="15" customHeight="1" thickBot="1">
      <c r="A118" s="186"/>
      <c r="B118" s="187"/>
      <c r="C118" s="188">
        <v>0</v>
      </c>
      <c r="D118" s="189">
        <f>B118*C118</f>
        <v>0</v>
      </c>
    </row>
    <row r="119" spans="1:4" ht="15" customHeight="1" thickTop="1">
      <c r="A119" s="6"/>
      <c r="B119" s="14"/>
      <c r="C119" s="14"/>
      <c r="D119" s="202">
        <f>SUM(D116:D118)</f>
        <v>0</v>
      </c>
    </row>
    <row r="120" spans="1:4" ht="15" customHeight="1">
      <c r="A120" s="192" t="s">
        <v>70</v>
      </c>
    </row>
    <row r="121" spans="1:4" ht="15" customHeight="1">
      <c r="A121" s="199" t="s">
        <v>142</v>
      </c>
      <c r="B121" s="177" t="s">
        <v>144</v>
      </c>
      <c r="C121" s="177" t="s">
        <v>143</v>
      </c>
      <c r="D121" s="162"/>
    </row>
    <row r="122" spans="1:4" ht="15" customHeight="1">
      <c r="A122" s="141" t="s">
        <v>146</v>
      </c>
      <c r="B122" s="184"/>
      <c r="C122" s="157"/>
      <c r="D122" s="159">
        <f>B122*C122</f>
        <v>0</v>
      </c>
    </row>
    <row r="123" spans="1:4" ht="15" customHeight="1">
      <c r="A123" s="141" t="s">
        <v>147</v>
      </c>
      <c r="B123" s="6"/>
      <c r="C123" s="157"/>
      <c r="D123" s="159">
        <f t="shared" ref="D123:D124" si="2">B123*C123</f>
        <v>0</v>
      </c>
    </row>
    <row r="124" spans="1:4" ht="15" customHeight="1" thickBot="1">
      <c r="A124" s="186" t="s">
        <v>148</v>
      </c>
      <c r="B124" s="187"/>
      <c r="C124" s="188"/>
      <c r="D124" s="189">
        <f t="shared" si="2"/>
        <v>0</v>
      </c>
    </row>
    <row r="125" spans="1:4" ht="15" customHeight="1" thickTop="1">
      <c r="A125" s="6"/>
      <c r="B125" s="14"/>
      <c r="C125" s="14"/>
      <c r="D125" s="202">
        <f>SUM(D122:D124)</f>
        <v>0</v>
      </c>
    </row>
    <row r="126" spans="1:4" ht="15" customHeight="1">
      <c r="A126" s="183" t="s">
        <v>152</v>
      </c>
    </row>
    <row r="127" spans="1:4" ht="15" customHeight="1">
      <c r="A127" s="198" t="s">
        <v>142</v>
      </c>
      <c r="B127" s="177" t="s">
        <v>135</v>
      </c>
      <c r="C127" s="177" t="s">
        <v>143</v>
      </c>
      <c r="D127" s="162"/>
    </row>
    <row r="128" spans="1:4" ht="15" customHeight="1">
      <c r="A128" s="141"/>
      <c r="B128" s="184"/>
      <c r="C128" s="185"/>
      <c r="D128" s="159">
        <f>B128*C128</f>
        <v>0</v>
      </c>
    </row>
    <row r="129" spans="1:4" ht="15" customHeight="1">
      <c r="A129" s="141"/>
      <c r="B129" s="6"/>
      <c r="C129" s="157"/>
      <c r="D129" s="159">
        <f t="shared" ref="D129:D130" si="3">B129*C129</f>
        <v>0</v>
      </c>
    </row>
    <row r="130" spans="1:4" ht="15" customHeight="1" thickBot="1">
      <c r="A130" s="186"/>
      <c r="B130" s="187"/>
      <c r="C130" s="188"/>
      <c r="D130" s="189">
        <f t="shared" si="3"/>
        <v>0</v>
      </c>
    </row>
    <row r="131" spans="1:4" ht="15" customHeight="1" thickTop="1">
      <c r="A131" s="6"/>
      <c r="B131" s="14"/>
      <c r="C131" s="14"/>
      <c r="D131" s="202">
        <f>SUM(D128:D130)</f>
        <v>0</v>
      </c>
    </row>
  </sheetData>
  <mergeCells count="4">
    <mergeCell ref="A42:D42"/>
    <mergeCell ref="A89:D89"/>
    <mergeCell ref="A51:D51"/>
    <mergeCell ref="A8:F8"/>
  </mergeCells>
  <dataValidations count="4">
    <dataValidation type="list" allowBlank="1" showInputMessage="1" showErrorMessage="1" sqref="B11" xr:uid="{00000000-0002-0000-0100-000000000000}">
      <formula1>"yes,no,"</formula1>
    </dataValidation>
    <dataValidation allowBlank="1" showInputMessage="1" showErrorMessage="1" promptTitle="2 CFR 200.413(c)" prompt="Additional justification is required." sqref="E23" xr:uid="{00000000-0002-0000-0100-000002000000}"/>
    <dataValidation type="list" allowBlank="1" showInputMessage="1" showErrorMessage="1" sqref="B54 B65 B76" xr:uid="{00000000-0002-0000-0100-000003000000}">
      <formula1>"Domestic,International"</formula1>
    </dataValidation>
    <dataValidation allowBlank="1" showInputMessage="1" showErrorMessage="1" promptTitle="2 CFR 200.461" prompt="Publication and printing costs" sqref="A114 A44" xr:uid="{00000000-0002-0000-0100-000004000000}"/>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'Cost of GEOL Grad AY25'!$E$6:$F$6</xm:f>
          </x14:formula1>
          <xm:sqref>D31 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workbookViewId="0">
      <selection activeCell="G6" sqref="G6"/>
    </sheetView>
  </sheetViews>
  <sheetFormatPr defaultRowHeight="12.75"/>
  <cols>
    <col min="1" max="1" width="24.42578125" style="235" bestFit="1" customWidth="1"/>
    <col min="2" max="2" width="7.7109375" style="235" customWidth="1"/>
    <col min="3" max="3" width="4.42578125" style="235" bestFit="1" customWidth="1"/>
    <col min="4" max="4" width="9.28515625" style="235" bestFit="1" customWidth="1"/>
    <col min="5" max="6" width="10.28515625" style="235" bestFit="1" customWidth="1"/>
    <col min="7" max="7" width="9.28515625" style="235" bestFit="1" customWidth="1"/>
    <col min="8" max="9" width="10.28515625" style="235" bestFit="1" customWidth="1"/>
    <col min="10" max="10" width="9.28515625" style="235" bestFit="1" customWidth="1"/>
    <col min="11" max="12" width="10.28515625" style="235" bestFit="1" customWidth="1"/>
    <col min="13" max="16384" width="9.140625" style="235"/>
  </cols>
  <sheetData>
    <row r="1" spans="1:6" ht="20.25">
      <c r="A1" s="215" t="s">
        <v>176</v>
      </c>
    </row>
    <row r="2" spans="1:6" ht="13.5" thickBot="1"/>
    <row r="3" spans="1:6" ht="16.5" thickBot="1">
      <c r="A3" s="216" t="s">
        <v>168</v>
      </c>
      <c r="B3" s="217"/>
      <c r="C3" s="217"/>
      <c r="D3" s="217"/>
      <c r="E3" s="217"/>
      <c r="F3" s="218"/>
    </row>
    <row r="4" spans="1:6">
      <c r="A4" s="219"/>
      <c r="B4" s="289" t="s">
        <v>165</v>
      </c>
      <c r="D4" s="290" t="s">
        <v>166</v>
      </c>
      <c r="E4" s="291"/>
      <c r="F4" s="292"/>
    </row>
    <row r="5" spans="1:6">
      <c r="A5" s="220" t="s">
        <v>98</v>
      </c>
      <c r="B5" s="289"/>
      <c r="D5" s="221" t="s">
        <v>99</v>
      </c>
      <c r="E5" s="222" t="s">
        <v>100</v>
      </c>
      <c r="F5" s="223" t="s">
        <v>101</v>
      </c>
    </row>
    <row r="6" spans="1:6" ht="13.5" thickBot="1">
      <c r="A6" s="224" t="s">
        <v>177</v>
      </c>
      <c r="B6" s="225"/>
      <c r="C6" s="226">
        <v>0.5</v>
      </c>
      <c r="D6" s="227">
        <v>2969.74</v>
      </c>
      <c r="E6" s="228">
        <v>26727.64</v>
      </c>
      <c r="F6" s="229">
        <v>32667.11</v>
      </c>
    </row>
    <row r="7" spans="1:6" ht="13.5" thickBot="1">
      <c r="A7" s="230"/>
      <c r="B7" s="231"/>
      <c r="C7" s="232"/>
      <c r="D7" s="131"/>
      <c r="E7" s="233"/>
      <c r="F7" s="234"/>
    </row>
  </sheetData>
  <mergeCells count="2">
    <mergeCell ref="B4:B5"/>
    <mergeCell ref="D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4"/>
  <sheetViews>
    <sheetView workbookViewId="0">
      <selection activeCell="A5" sqref="A5"/>
    </sheetView>
  </sheetViews>
  <sheetFormatPr defaultRowHeight="12.75"/>
  <sheetData>
    <row r="2" spans="1:1">
      <c r="A2" s="236" t="s">
        <v>167</v>
      </c>
    </row>
    <row r="3" spans="1:1">
      <c r="A3" s="236" t="s">
        <v>164</v>
      </c>
    </row>
    <row r="4" spans="1:1">
      <c r="A4" s="236"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General</vt:lpstr>
      <vt:lpstr>Itemized Calculators</vt:lpstr>
      <vt:lpstr>Cost of GEOL Grad AY25</vt:lpstr>
      <vt:lpstr>Cost of Geology Postdoc</vt:lpstr>
      <vt:lpstr>General!Print_Area</vt:lpstr>
      <vt:lpstr>General!Print_Titles</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Jeffries, Joe Lamar</dc:creator>
  <cp:lastModifiedBy>Byers, Ann</cp:lastModifiedBy>
  <cp:lastPrinted>2020-09-10T21:54:19Z</cp:lastPrinted>
  <dcterms:created xsi:type="dcterms:W3CDTF">2020-09-10T18:05:57Z</dcterms:created>
  <dcterms:modified xsi:type="dcterms:W3CDTF">2025-03-31T15:22:08Z</dcterms:modified>
</cp:coreProperties>
</file>